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1sfu-my.sharepoint.com/personal/mjbrydon_sfu_ca/Documents/Tutorials/BasicAnalytics/MonteCarlo/XLRisk/source/"/>
    </mc:Choice>
  </mc:AlternateContent>
  <xr:revisionPtr revIDLastSave="2700" documentId="8_{B0DB0470-58F7-4A69-98DE-6E3DACACED2E}" xr6:coauthVersionLast="47" xr6:coauthVersionMax="47" xr10:uidLastSave="{99AD9643-D245-450C-B456-17E9C5FC42E6}"/>
  <bookViews>
    <workbookView xWindow="-90" yWindow="-90" windowWidth="19380" windowHeight="11460" activeTab="5" xr2:uid="{89F4A305-015D-4416-8B64-1B29C6E05FFC}"/>
  </bookViews>
  <sheets>
    <sheet name="Model" sheetId="1" r:id="rId1"/>
    <sheet name="Assumptions" sheetId="2" r:id="rId2"/>
    <sheet name="O&amp;M" sheetId="11" r:id="rId3"/>
    <sheet name="Inflation data" sheetId="8" r:id="rId4"/>
    <sheet name="Lognormal fit" sheetId="9" r:id="rId5"/>
    <sheet name="XLRisk" sheetId="12" r:id="rId6"/>
  </sheets>
  <externalReferences>
    <externalReference r:id="rId7"/>
  </externalReferences>
  <definedNames>
    <definedName name="Borrowing_rate">Assumptions!$B$2</definedName>
    <definedName name="CalcDataTables" localSheetId="5">XLRisk!$B$6</definedName>
    <definedName name="Inflation_mean">'Lognormal fit'!$B$7</definedName>
    <definedName name="Inflation_rate">Assumptions!$B$3</definedName>
    <definedName name="Inflation_shift">'Lognormal fit'!$B$9</definedName>
    <definedName name="Inflation_std">'Lognormal fit'!$B$8</definedName>
    <definedName name="Iterations" localSheetId="5">XLRisk!$B$4</definedName>
    <definedName name="LatinHypercube" localSheetId="5">XLRisk!$B$5</definedName>
    <definedName name="MacroAfter" localSheetId="5">XLRisk!$B$11</definedName>
    <definedName name="MacroAfterSimulation" localSheetId="5">XLRisk!$B$12</definedName>
    <definedName name="MacroBefore" localSheetId="5">XLRisk!$B$10</definedName>
    <definedName name="Operating_cost">Assumptions!#REF!</definedName>
    <definedName name="Real_interest_rate">Assumptions!$B$6</definedName>
    <definedName name="RiskInputs" localSheetId="5">XLRisk!$D$3</definedName>
    <definedName name="RiskOutputs" localSheetId="5">XLRisk!$G$3</definedName>
    <definedName name="ScreenUpdate" localSheetId="5">XLRisk!$B$3</definedName>
    <definedName name="Seed" localSheetId="5">XLRisk!$B$2</definedName>
    <definedName name="Term">Assumptions!$B$4</definedName>
    <definedName name="TornadoX">INDIRECT(#REF!)</definedName>
    <definedName name="TornadoY">OFFSET(INDIRECT(#REF!),0,#REF!)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3" i="11" l="1"/>
  <c r="C3" i="11"/>
  <c r="B9" i="9"/>
  <c r="B8" i="9" l="1"/>
  <c r="B7" i="9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B9" i="11"/>
  <c r="B8" i="11"/>
  <c r="B7" i="11"/>
  <c r="B6" i="11"/>
  <c r="B5" i="11"/>
  <c r="B4" i="11"/>
  <c r="D4" i="11" l="1"/>
  <c r="B6" i="2"/>
  <c r="D5" i="11" l="1"/>
  <c r="D6" i="11" s="1"/>
  <c r="D7" i="11" s="1"/>
  <c r="D8" i="11" s="1"/>
  <c r="D9" i="11" s="1"/>
  <c r="C4" i="11"/>
  <c r="C5" i="11" s="1"/>
  <c r="C6" i="11" s="1"/>
  <c r="C7" i="11" l="1"/>
  <c r="C8" i="11" s="1"/>
  <c r="C9" i="11" s="1"/>
  <c r="D10" i="11"/>
  <c r="D6" i="1" s="1"/>
  <c r="D7" i="1" s="1"/>
  <c r="C10" i="11" l="1"/>
  <c r="C6" i="1" s="1"/>
  <c r="C7" i="1" s="1"/>
  <c r="C8" i="1" s="1"/>
</calcChain>
</file>

<file path=xl/sharedStrings.xml><?xml version="1.0" encoding="utf-8"?>
<sst xmlns="http://schemas.openxmlformats.org/spreadsheetml/2006/main" count="73" uniqueCount="62">
  <si>
    <t>Inputs</t>
  </si>
  <si>
    <t>Output</t>
  </si>
  <si>
    <t>Capital cost</t>
  </si>
  <si>
    <t>Borrowing rate</t>
  </si>
  <si>
    <t>Inflation rate</t>
  </si>
  <si>
    <t>Used</t>
  </si>
  <si>
    <t>New</t>
  </si>
  <si>
    <t>Term</t>
  </si>
  <si>
    <t>years</t>
  </si>
  <si>
    <t>O&amp;M cost</t>
  </si>
  <si>
    <t>Assumption</t>
  </si>
  <si>
    <t>Value</t>
  </si>
  <si>
    <t>Present value</t>
  </si>
  <si>
    <t>New car premium</t>
  </si>
  <si>
    <t>Equivalent monthly cost</t>
  </si>
  <si>
    <t>Simulation Settings</t>
  </si>
  <si>
    <t>Seed</t>
  </si>
  <si>
    <t>Update Screen</t>
  </si>
  <si>
    <t>Iterations</t>
  </si>
  <si>
    <t>Latin Hypercube</t>
  </si>
  <si>
    <t>Calculate data tables during simulation</t>
  </si>
  <si>
    <t>Macro to run before each iteration</t>
  </si>
  <si>
    <t>Macro to run after each iteration</t>
  </si>
  <si>
    <t>Macro to run after simulation</t>
  </si>
  <si>
    <t>Simulation Inputs</t>
  </si>
  <si>
    <t>Range</t>
  </si>
  <si>
    <t>Formula</t>
  </si>
  <si>
    <t>Simulation Outputs</t>
  </si>
  <si>
    <t>Name</t>
  </si>
  <si>
    <t>Assumptions!$B$2</t>
  </si>
  <si>
    <t>RiskNormal(0.05, 0.01)</t>
  </si>
  <si>
    <t>Used_EMC</t>
  </si>
  <si>
    <t>New_EMC</t>
  </si>
  <si>
    <t>Premium</t>
  </si>
  <si>
    <t>Model!$C$7</t>
  </si>
  <si>
    <t>Model!$D$7</t>
  </si>
  <si>
    <t>Model!$C$8</t>
  </si>
  <si>
    <t>Year</t>
  </si>
  <si>
    <t>All Items CPI</t>
  </si>
  <si>
    <t>[0.57305, -0.006, 0.03051]</t>
  </si>
  <si>
    <t>s</t>
  </si>
  <si>
    <t>scale</t>
  </si>
  <si>
    <t>loc</t>
  </si>
  <si>
    <t>For XLRisk</t>
  </si>
  <si>
    <t>Inflation mean</t>
  </si>
  <si>
    <t>Inflation std</t>
  </si>
  <si>
    <t>End of Year</t>
  </si>
  <si>
    <t>O&amp;M</t>
  </si>
  <si>
    <t>Inflation shift</t>
  </si>
  <si>
    <t>Comment</t>
  </si>
  <si>
    <t>ln(scale)</t>
  </si>
  <si>
    <t>Present value (with O&amp;M)</t>
  </si>
  <si>
    <t>O&amp;M'!$B$4</t>
  </si>
  <si>
    <t>O&amp;M'!$B$5</t>
  </si>
  <si>
    <t>O&amp;M'!$B$6</t>
  </si>
  <si>
    <t>O&amp;M'!$B$7</t>
  </si>
  <si>
    <t>O&amp;M'!$B$8</t>
  </si>
  <si>
    <t>O&amp;M'!$B$9</t>
  </si>
  <si>
    <t>Parameters from Fitter</t>
  </si>
  <si>
    <t>Real interest rate</t>
  </si>
  <si>
    <t>Inflation Rate</t>
  </si>
  <si>
    <t>RiskLogNorm(Inflation_mean, Inflation_std) + Inflation_shift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</si>
</sst>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165" fontId="0" fillId="0" borderId="1" xfId="0" applyNumberFormat="1" applyBorder="1"/>
    <xf numFmtId="10" fontId="0" fillId="0" borderId="1" xfId="2" applyNumberFormat="1" applyFont="1" applyBorder="1"/>
    <xf numFmtId="0" fontId="3" fillId="0" borderId="0" xfId="0" applyFont="1"/>
    <xf numFmtId="0" fontId="2" fillId="0" borderId="0" xfId="0" applyFont="1" applyAlignment="1">
      <alignment horizontal="right" wrapText="1"/>
    </xf>
    <xf numFmtId="165" fontId="0" fillId="0" borderId="0" xfId="2" applyNumberFormat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166" fontId="0" fillId="0" borderId="1" xfId="0" applyNumberFormat="1" applyBorder="1"/>
    <xf numFmtId="8" fontId="2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quotePrefix="1"/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XLRisk\XLRisk.xlam" TargetMode="External"/><Relationship Id="rId1" Type="http://schemas.openxmlformats.org/officeDocument/2006/relationships/externalLinkPath" Target="file:///C:\Program%20Files\XLRisk\XLRisk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RiskLogNorm"/>
      <definedName name="RiskNormal"/>
    </defined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E492-36AB-4C48-9AA4-DAF9E0A56D3C}">
  <sheetPr codeName="Sheet1"/>
  <dimension ref="A1:D9"/>
  <sheetViews>
    <sheetView zoomScale="200" zoomScaleNormal="200" workbookViewId="0">
      <selection activeCell="C7" sqref="C7"/>
    </sheetView>
  </sheetViews>
  <sheetFormatPr defaultRowHeight="15" x14ac:dyDescent="0.25"/>
  <cols>
    <col min="1" max="1" width="4.5703125" customWidth="1"/>
    <col min="2" max="2" width="20.42578125" bestFit="1" customWidth="1"/>
    <col min="3" max="4" width="10.140625" bestFit="1" customWidth="1"/>
  </cols>
  <sheetData>
    <row r="1" spans="1:4" x14ac:dyDescent="0.25">
      <c r="A1" s="1" t="s">
        <v>0</v>
      </c>
      <c r="C1" s="4" t="s">
        <v>5</v>
      </c>
      <c r="D1" s="4" t="s">
        <v>6</v>
      </c>
    </row>
    <row r="2" spans="1:4" x14ac:dyDescent="0.25">
      <c r="B2" t="s">
        <v>2</v>
      </c>
      <c r="C2" s="5">
        <v>30000</v>
      </c>
      <c r="D2" s="5">
        <v>60000</v>
      </c>
    </row>
    <row r="3" spans="1:4" x14ac:dyDescent="0.25">
      <c r="B3" t="s">
        <v>9</v>
      </c>
      <c r="C3" s="5">
        <v>8500</v>
      </c>
      <c r="D3" s="5">
        <v>4000</v>
      </c>
    </row>
    <row r="4" spans="1:4" x14ac:dyDescent="0.25">
      <c r="C4" s="5"/>
      <c r="D4" s="5"/>
    </row>
    <row r="5" spans="1:4" x14ac:dyDescent="0.25">
      <c r="A5" s="1" t="s">
        <v>1</v>
      </c>
      <c r="C5" s="5"/>
      <c r="D5" s="5"/>
    </row>
    <row r="6" spans="1:4" x14ac:dyDescent="0.25">
      <c r="A6" s="1"/>
      <c r="B6" t="s">
        <v>51</v>
      </c>
      <c r="C6" s="5">
        <f ca="1">C2+'O&amp;M'!C10</f>
        <v>79714.036459466995</v>
      </c>
      <c r="D6" s="5">
        <f ca="1">D2+'O&amp;M'!D10</f>
        <v>83394.840686808006</v>
      </c>
    </row>
    <row r="7" spans="1:4" x14ac:dyDescent="0.25">
      <c r="B7" t="s">
        <v>14</v>
      </c>
      <c r="C7" s="5">
        <f ca="1">PMT(Borrowing_rate/12,Term*12,-Model!C6)</f>
        <v>1273.0791910623486</v>
      </c>
      <c r="D7" s="5">
        <f ca="1">PMT(Borrowing_rate/12,Term*12,-Model!D6)</f>
        <v>1331.8637599580022</v>
      </c>
    </row>
    <row r="8" spans="1:4" x14ac:dyDescent="0.25">
      <c r="B8" t="s">
        <v>13</v>
      </c>
      <c r="C8" s="6">
        <f ca="1">D7-C7</f>
        <v>58.784568895653592</v>
      </c>
      <c r="D8" s="5"/>
    </row>
    <row r="9" spans="1:4" x14ac:dyDescent="0.25">
      <c r="C9" s="5"/>
      <c r="D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D5C5-7114-42A4-9DFA-5B99ADD3FE35}">
  <sheetPr codeName="Sheet2"/>
  <dimension ref="A1:C6"/>
  <sheetViews>
    <sheetView zoomScale="200" zoomScaleNormal="200" workbookViewId="0">
      <selection activeCell="B4" sqref="B4"/>
    </sheetView>
  </sheetViews>
  <sheetFormatPr defaultRowHeight="15" x14ac:dyDescent="0.25"/>
  <cols>
    <col min="1" max="1" width="16.140625" customWidth="1"/>
    <col min="2" max="2" width="10.140625" customWidth="1"/>
  </cols>
  <sheetData>
    <row r="1" spans="1:3" x14ac:dyDescent="0.25">
      <c r="A1" s="2" t="s">
        <v>10</v>
      </c>
      <c r="B1" s="2" t="s">
        <v>11</v>
      </c>
    </row>
    <row r="2" spans="1:3" x14ac:dyDescent="0.25">
      <c r="A2" s="3" t="s">
        <v>3</v>
      </c>
      <c r="B2" s="7">
        <f ca="1">[1]!RiskNormal(0.05, 0.01)</f>
        <v>4.7096070124769768E-2</v>
      </c>
    </row>
    <row r="3" spans="1:3" x14ac:dyDescent="0.25">
      <c r="A3" s="3" t="s">
        <v>4</v>
      </c>
      <c r="B3" s="7">
        <v>0.02</v>
      </c>
    </row>
    <row r="4" spans="1:3" x14ac:dyDescent="0.25">
      <c r="A4" s="3" t="s">
        <v>7</v>
      </c>
      <c r="B4" s="3">
        <v>6</v>
      </c>
      <c r="C4" t="s">
        <v>8</v>
      </c>
    </row>
    <row r="6" spans="1:3" x14ac:dyDescent="0.25">
      <c r="A6" s="3" t="s">
        <v>59</v>
      </c>
      <c r="B6" s="8">
        <f ca="1">(1+Borrowing_rate)/(1+Inflation_rate)-1</f>
        <v>2.6564774632127142E-2</v>
      </c>
    </row>
  </sheetData>
  <scenarios current="1" show="1">
    <scenario name="Worst case" locked="1" count="2" user="brydon">
      <inputCells r="B2" val="0.1" numFmtId="9"/>
      <inputCells r="B3" val="0.07" numFmtId="9"/>
    </scenario>
    <scenario name="Most likely case" locked="1" count="2" user="brydon">
      <inputCells r="B2" val="0.05" numFmtId="9"/>
      <inputCells r="B3" val="0.02" numFmtId="9"/>
    </scenario>
    <scenario name="Best case" locked="1" count="2" user="brydon">
      <inputCells r="B2" val="0.005" numFmtId="9"/>
      <inputCells r="B3" val="-0.005" numFmtId="9"/>
    </scenario>
  </scenario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BB51-17F4-40C1-8C2E-E13A21B11650}">
  <sheetPr codeName="Sheet3"/>
  <dimension ref="A1:D10"/>
  <sheetViews>
    <sheetView workbookViewId="0">
      <selection activeCell="C10" sqref="C10"/>
    </sheetView>
  </sheetViews>
  <sheetFormatPr defaultRowHeight="15" x14ac:dyDescent="0.25"/>
  <cols>
    <col min="3" max="4" width="13.42578125" bestFit="1" customWidth="1"/>
  </cols>
  <sheetData>
    <row r="1" spans="1:4" x14ac:dyDescent="0.25">
      <c r="A1" s="22" t="s">
        <v>46</v>
      </c>
      <c r="B1" s="22" t="s">
        <v>4</v>
      </c>
      <c r="C1" s="24" t="s">
        <v>47</v>
      </c>
      <c r="D1" s="24"/>
    </row>
    <row r="2" spans="1:4" ht="29.1" customHeight="1" x14ac:dyDescent="0.25">
      <c r="A2" s="23"/>
      <c r="B2" s="23"/>
      <c r="C2" s="15" t="s">
        <v>5</v>
      </c>
      <c r="D2" s="15" t="s">
        <v>6</v>
      </c>
    </row>
    <row r="3" spans="1:4" x14ac:dyDescent="0.25">
      <c r="A3" s="16">
        <v>0</v>
      </c>
      <c r="B3" s="3"/>
      <c r="C3" s="3">
        <f>Model!C3</f>
        <v>8500</v>
      </c>
      <c r="D3" s="3">
        <f>Model!D3</f>
        <v>4000</v>
      </c>
    </row>
    <row r="4" spans="1:4" x14ac:dyDescent="0.25">
      <c r="A4" s="16">
        <v>1</v>
      </c>
      <c r="B4" s="17">
        <f ca="1">[1]!RiskLogNorm(Inflation_mean, Inflation_std) + Inflation_shift</f>
        <v>2.6148564078985352E-2</v>
      </c>
      <c r="C4" s="18">
        <f ca="1">C3*(1+$B4)</f>
        <v>8722.2627946713746</v>
      </c>
      <c r="D4" s="18">
        <f ca="1">D3*(1+$B4)</f>
        <v>4104.5942563159415</v>
      </c>
    </row>
    <row r="5" spans="1:4" x14ac:dyDescent="0.25">
      <c r="A5" s="16">
        <v>2</v>
      </c>
      <c r="B5" s="17">
        <f ca="1">[1]!RiskLogNorm(Inflation_mean, Inflation_std) + Inflation_shift</f>
        <v>3.4004404815596072E-2</v>
      </c>
      <c r="C5" s="18">
        <f t="shared" ref="C5:D9" ca="1" si="0">C4*(1+$B5)</f>
        <v>9018.8581496493916</v>
      </c>
      <c r="D5" s="18">
        <f t="shared" ca="1" si="0"/>
        <v>4244.1685410114796</v>
      </c>
    </row>
    <row r="6" spans="1:4" x14ac:dyDescent="0.25">
      <c r="A6" s="16">
        <v>3</v>
      </c>
      <c r="B6" s="17">
        <f ca="1">[1]!RiskLogNorm(Inflation_mean, Inflation_std) + Inflation_shift</f>
        <v>2.1892112683468037E-2</v>
      </c>
      <c r="C6" s="18">
        <f t="shared" ca="1" si="0"/>
        <v>9216.3000085377316</v>
      </c>
      <c r="D6" s="18">
        <f t="shared" ca="1" si="0"/>
        <v>4337.0823569589338</v>
      </c>
    </row>
    <row r="7" spans="1:4" x14ac:dyDescent="0.25">
      <c r="A7" s="16">
        <v>4</v>
      </c>
      <c r="B7" s="17">
        <f ca="1">[1]!RiskLogNorm(Inflation_mean, Inflation_std) + Inflation_shift</f>
        <v>3.9558367984279544E-2</v>
      </c>
      <c r="C7" s="18">
        <f t="shared" ca="1" si="0"/>
        <v>9580.8817957289848</v>
      </c>
      <c r="D7" s="18">
        <f t="shared" ca="1" si="0"/>
        <v>4508.6502568136411</v>
      </c>
    </row>
    <row r="8" spans="1:4" x14ac:dyDescent="0.25">
      <c r="A8" s="16">
        <v>5</v>
      </c>
      <c r="B8" s="17">
        <f ca="1">[1]!RiskLogNorm(Inflation_mean, Inflation_std) + Inflation_shift</f>
        <v>0.12877767592749303</v>
      </c>
      <c r="C8" s="18">
        <f t="shared" ca="1" si="0"/>
        <v>10814.685486718989</v>
      </c>
      <c r="D8" s="18">
        <f t="shared" ca="1" si="0"/>
        <v>5089.2637584559961</v>
      </c>
    </row>
    <row r="9" spans="1:4" x14ac:dyDescent="0.25">
      <c r="A9" s="16">
        <v>6</v>
      </c>
      <c r="B9" s="17">
        <f ca="1">[1]!RiskLogNorm(Inflation_mean, Inflation_std) + Inflation_shift</f>
        <v>4.4288447026549063E-2</v>
      </c>
      <c r="C9" s="18">
        <f t="shared" ca="1" si="0"/>
        <v>11293.651112006331</v>
      </c>
      <c r="D9" s="18">
        <f t="shared" ca="1" si="0"/>
        <v>5314.65934682651</v>
      </c>
    </row>
    <row r="10" spans="1:4" ht="27" customHeight="1" x14ac:dyDescent="0.25">
      <c r="A10" s="25" t="s">
        <v>12</v>
      </c>
      <c r="B10" s="26"/>
      <c r="C10" s="19">
        <f ca="1">NPV(Borrowing_rate,C4:C9)</f>
        <v>49714.036459466988</v>
      </c>
      <c r="D10" s="19">
        <f ca="1">NPV(Borrowing_rate,D4:D9)</f>
        <v>23394.840686808002</v>
      </c>
    </row>
  </sheetData>
  <mergeCells count="4">
    <mergeCell ref="A1:A2"/>
    <mergeCell ref="B1:B2"/>
    <mergeCell ref="C1:D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56A70-41EF-4B24-8CE6-A88E7364E508}">
  <sheetPr codeName="Sheet4"/>
  <dimension ref="A1:C46"/>
  <sheetViews>
    <sheetView workbookViewId="0">
      <selection activeCell="C3" sqref="C3"/>
    </sheetView>
  </sheetViews>
  <sheetFormatPr defaultRowHeight="15" x14ac:dyDescent="0.25"/>
  <cols>
    <col min="3" max="3" width="9" bestFit="1" customWidth="1"/>
  </cols>
  <sheetData>
    <row r="1" spans="1:3" ht="30" x14ac:dyDescent="0.25">
      <c r="A1" s="10" t="s">
        <v>37</v>
      </c>
      <c r="B1" s="10" t="s">
        <v>38</v>
      </c>
      <c r="C1" s="10" t="s">
        <v>60</v>
      </c>
    </row>
    <row r="2" spans="1:3" x14ac:dyDescent="0.25">
      <c r="A2">
        <v>1980</v>
      </c>
      <c r="B2">
        <v>44</v>
      </c>
    </row>
    <row r="3" spans="1:3" x14ac:dyDescent="0.25">
      <c r="A3">
        <v>1981</v>
      </c>
      <c r="B3">
        <v>49.5</v>
      </c>
      <c r="C3" s="11">
        <f>(B3-B2)/B2</f>
        <v>0.125</v>
      </c>
    </row>
    <row r="4" spans="1:3" x14ac:dyDescent="0.25">
      <c r="A4">
        <v>1982</v>
      </c>
      <c r="B4">
        <v>54.9</v>
      </c>
      <c r="C4" s="11">
        <f t="shared" ref="C4:C46" si="0">(B4-B3)/B3</f>
        <v>0.10909090909090906</v>
      </c>
    </row>
    <row r="5" spans="1:3" x14ac:dyDescent="0.25">
      <c r="A5">
        <v>1983</v>
      </c>
      <c r="B5">
        <v>58.1</v>
      </c>
      <c r="C5" s="11">
        <f t="shared" si="0"/>
        <v>5.8287795992714081E-2</v>
      </c>
    </row>
    <row r="6" spans="1:3" x14ac:dyDescent="0.25">
      <c r="A6">
        <v>1984</v>
      </c>
      <c r="B6">
        <v>60.6</v>
      </c>
      <c r="C6" s="11">
        <f t="shared" si="0"/>
        <v>4.3029259896729774E-2</v>
      </c>
    </row>
    <row r="7" spans="1:3" x14ac:dyDescent="0.25">
      <c r="A7">
        <v>1985</v>
      </c>
      <c r="B7">
        <v>63</v>
      </c>
      <c r="C7" s="11">
        <f t="shared" si="0"/>
        <v>3.9603960396039577E-2</v>
      </c>
    </row>
    <row r="8" spans="1:3" x14ac:dyDescent="0.25">
      <c r="A8">
        <v>1986</v>
      </c>
      <c r="B8">
        <v>65.599999999999994</v>
      </c>
      <c r="C8" s="11">
        <f t="shared" si="0"/>
        <v>4.1269841269841179E-2</v>
      </c>
    </row>
    <row r="9" spans="1:3" x14ac:dyDescent="0.25">
      <c r="A9">
        <v>1987</v>
      </c>
      <c r="B9">
        <v>68.5</v>
      </c>
      <c r="C9" s="11">
        <f t="shared" si="0"/>
        <v>4.420731707317082E-2</v>
      </c>
    </row>
    <row r="10" spans="1:3" x14ac:dyDescent="0.25">
      <c r="A10">
        <v>1988</v>
      </c>
      <c r="B10">
        <v>71.2</v>
      </c>
      <c r="C10" s="11">
        <f t="shared" si="0"/>
        <v>3.9416058394160625E-2</v>
      </c>
    </row>
    <row r="11" spans="1:3" x14ac:dyDescent="0.25">
      <c r="A11">
        <v>1989</v>
      </c>
      <c r="B11">
        <v>74.8</v>
      </c>
      <c r="C11" s="11">
        <f t="shared" si="0"/>
        <v>5.0561797752808904E-2</v>
      </c>
    </row>
    <row r="12" spans="1:3" x14ac:dyDescent="0.25">
      <c r="A12">
        <v>1990</v>
      </c>
      <c r="B12">
        <v>78.400000000000006</v>
      </c>
      <c r="C12" s="11">
        <f t="shared" si="0"/>
        <v>4.8128342245989421E-2</v>
      </c>
    </row>
    <row r="13" spans="1:3" x14ac:dyDescent="0.25">
      <c r="A13">
        <v>1991</v>
      </c>
      <c r="B13">
        <v>82.8</v>
      </c>
      <c r="C13" s="11">
        <f t="shared" si="0"/>
        <v>5.6122448979591726E-2</v>
      </c>
    </row>
    <row r="14" spans="1:3" x14ac:dyDescent="0.25">
      <c r="A14">
        <v>1992</v>
      </c>
      <c r="B14">
        <v>84</v>
      </c>
      <c r="C14" s="11">
        <f t="shared" si="0"/>
        <v>1.4492753623188441E-2</v>
      </c>
    </row>
    <row r="15" spans="1:3" x14ac:dyDescent="0.25">
      <c r="A15">
        <v>1993</v>
      </c>
      <c r="B15">
        <v>85.6</v>
      </c>
      <c r="C15" s="11">
        <f t="shared" si="0"/>
        <v>1.904761904761898E-2</v>
      </c>
    </row>
    <row r="16" spans="1:3" x14ac:dyDescent="0.25">
      <c r="A16">
        <v>1994</v>
      </c>
      <c r="B16">
        <v>85.7</v>
      </c>
      <c r="C16" s="11">
        <f t="shared" si="0"/>
        <v>1.1682242990655202E-3</v>
      </c>
    </row>
    <row r="17" spans="1:3" x14ac:dyDescent="0.25">
      <c r="A17">
        <v>1995</v>
      </c>
      <c r="B17">
        <v>87.6</v>
      </c>
      <c r="C17" s="11">
        <f t="shared" si="0"/>
        <v>2.2170361726954392E-2</v>
      </c>
    </row>
    <row r="18" spans="1:3" x14ac:dyDescent="0.25">
      <c r="A18">
        <v>1996</v>
      </c>
      <c r="B18">
        <v>88.9</v>
      </c>
      <c r="C18" s="11">
        <f t="shared" si="0"/>
        <v>1.4840182648401957E-2</v>
      </c>
    </row>
    <row r="19" spans="1:3" x14ac:dyDescent="0.25">
      <c r="A19">
        <v>1997</v>
      </c>
      <c r="B19">
        <v>90.4</v>
      </c>
      <c r="C19" s="11">
        <f t="shared" si="0"/>
        <v>1.6872890888638917E-2</v>
      </c>
    </row>
    <row r="20" spans="1:3" x14ac:dyDescent="0.25">
      <c r="A20">
        <v>1998</v>
      </c>
      <c r="B20">
        <v>91.3</v>
      </c>
      <c r="C20" s="11">
        <f t="shared" si="0"/>
        <v>9.955752212389285E-3</v>
      </c>
    </row>
    <row r="21" spans="1:3" x14ac:dyDescent="0.25">
      <c r="A21">
        <v>1999</v>
      </c>
      <c r="B21">
        <v>92.9</v>
      </c>
      <c r="C21" s="11">
        <f t="shared" si="0"/>
        <v>1.752464403066822E-2</v>
      </c>
    </row>
    <row r="22" spans="1:3" x14ac:dyDescent="0.25">
      <c r="A22">
        <v>2000</v>
      </c>
      <c r="B22">
        <v>95.4</v>
      </c>
      <c r="C22" s="11">
        <f t="shared" si="0"/>
        <v>2.6910656620021525E-2</v>
      </c>
    </row>
    <row r="23" spans="1:3" x14ac:dyDescent="0.25">
      <c r="A23">
        <v>2001</v>
      </c>
      <c r="B23">
        <v>97.8</v>
      </c>
      <c r="C23" s="11">
        <f t="shared" si="0"/>
        <v>2.5157232704402423E-2</v>
      </c>
    </row>
    <row r="24" spans="1:3" x14ac:dyDescent="0.25">
      <c r="A24">
        <v>2002</v>
      </c>
      <c r="B24">
        <v>100</v>
      </c>
      <c r="C24" s="11">
        <f t="shared" si="0"/>
        <v>2.2494887525562401E-2</v>
      </c>
    </row>
    <row r="25" spans="1:3" x14ac:dyDescent="0.25">
      <c r="A25">
        <v>2003</v>
      </c>
      <c r="B25">
        <v>102.8</v>
      </c>
      <c r="C25" s="11">
        <f t="shared" si="0"/>
        <v>2.7999999999999973E-2</v>
      </c>
    </row>
    <row r="26" spans="1:3" x14ac:dyDescent="0.25">
      <c r="A26">
        <v>2004</v>
      </c>
      <c r="B26">
        <v>104.7</v>
      </c>
      <c r="C26" s="11">
        <f t="shared" si="0"/>
        <v>1.8482490272373597E-2</v>
      </c>
    </row>
    <row r="27" spans="1:3" x14ac:dyDescent="0.25">
      <c r="A27">
        <v>2005</v>
      </c>
      <c r="B27">
        <v>107</v>
      </c>
      <c r="C27" s="11">
        <f t="shared" si="0"/>
        <v>2.1967526265520506E-2</v>
      </c>
    </row>
    <row r="28" spans="1:3" x14ac:dyDescent="0.25">
      <c r="A28">
        <v>2006</v>
      </c>
      <c r="B28">
        <v>109.1</v>
      </c>
      <c r="C28" s="11">
        <f t="shared" si="0"/>
        <v>1.9626168224299013E-2</v>
      </c>
    </row>
    <row r="29" spans="1:3" x14ac:dyDescent="0.25">
      <c r="A29">
        <v>2007</v>
      </c>
      <c r="B29">
        <v>111.5</v>
      </c>
      <c r="C29" s="11">
        <f t="shared" si="0"/>
        <v>2.1998166819431769E-2</v>
      </c>
    </row>
    <row r="30" spans="1:3" x14ac:dyDescent="0.25">
      <c r="A30">
        <v>2008</v>
      </c>
      <c r="B30">
        <v>114.1</v>
      </c>
      <c r="C30" s="11">
        <f t="shared" si="0"/>
        <v>2.3318385650224163E-2</v>
      </c>
    </row>
    <row r="31" spans="1:3" x14ac:dyDescent="0.25">
      <c r="A31">
        <v>2009</v>
      </c>
      <c r="B31">
        <v>114.4</v>
      </c>
      <c r="C31" s="11">
        <f t="shared" si="0"/>
        <v>2.6292725679229745E-3</v>
      </c>
    </row>
    <row r="32" spans="1:3" x14ac:dyDescent="0.25">
      <c r="A32">
        <v>2010</v>
      </c>
      <c r="B32">
        <v>116.5</v>
      </c>
      <c r="C32" s="11">
        <f t="shared" si="0"/>
        <v>1.8356643356643308E-2</v>
      </c>
    </row>
    <row r="33" spans="1:3" x14ac:dyDescent="0.25">
      <c r="A33">
        <v>2011</v>
      </c>
      <c r="B33">
        <v>119.9</v>
      </c>
      <c r="C33" s="11">
        <f t="shared" si="0"/>
        <v>2.9184549356223225E-2</v>
      </c>
    </row>
    <row r="34" spans="1:3" x14ac:dyDescent="0.25">
      <c r="A34">
        <v>2012</v>
      </c>
      <c r="B34">
        <v>121.7</v>
      </c>
      <c r="C34" s="11">
        <f t="shared" si="0"/>
        <v>1.5012510425354437E-2</v>
      </c>
    </row>
    <row r="35" spans="1:3" x14ac:dyDescent="0.25">
      <c r="A35">
        <v>2013</v>
      </c>
      <c r="B35">
        <v>122.8</v>
      </c>
      <c r="C35" s="11">
        <f t="shared" si="0"/>
        <v>9.0386195562859022E-3</v>
      </c>
    </row>
    <row r="36" spans="1:3" x14ac:dyDescent="0.25">
      <c r="A36">
        <v>2014</v>
      </c>
      <c r="B36">
        <v>125.2</v>
      </c>
      <c r="C36" s="11">
        <f t="shared" si="0"/>
        <v>1.9543973941368125E-2</v>
      </c>
    </row>
    <row r="37" spans="1:3" x14ac:dyDescent="0.25">
      <c r="A37">
        <v>2015</v>
      </c>
      <c r="B37">
        <v>126.6</v>
      </c>
      <c r="C37" s="11">
        <f t="shared" si="0"/>
        <v>1.1182108626198015E-2</v>
      </c>
    </row>
    <row r="38" spans="1:3" x14ac:dyDescent="0.25">
      <c r="A38">
        <v>2016</v>
      </c>
      <c r="B38">
        <v>128.4</v>
      </c>
      <c r="C38" s="11">
        <f t="shared" si="0"/>
        <v>1.4218009478673077E-2</v>
      </c>
    </row>
    <row r="39" spans="1:3" x14ac:dyDescent="0.25">
      <c r="A39">
        <v>2017</v>
      </c>
      <c r="B39">
        <v>130.4</v>
      </c>
      <c r="C39" s="11">
        <f t="shared" si="0"/>
        <v>1.5576323987538941E-2</v>
      </c>
    </row>
    <row r="40" spans="1:3" x14ac:dyDescent="0.25">
      <c r="A40">
        <v>2018</v>
      </c>
      <c r="B40">
        <v>133.4</v>
      </c>
      <c r="C40" s="11">
        <f t="shared" si="0"/>
        <v>2.3006134969325152E-2</v>
      </c>
    </row>
    <row r="41" spans="1:3" x14ac:dyDescent="0.25">
      <c r="A41">
        <v>2019</v>
      </c>
      <c r="B41">
        <v>136</v>
      </c>
      <c r="C41" s="11">
        <f t="shared" si="0"/>
        <v>1.9490254872563676E-2</v>
      </c>
    </row>
    <row r="42" spans="1:3" x14ac:dyDescent="0.25">
      <c r="A42">
        <v>2020</v>
      </c>
      <c r="B42">
        <v>137</v>
      </c>
      <c r="C42" s="11">
        <f t="shared" si="0"/>
        <v>7.3529411764705881E-3</v>
      </c>
    </row>
    <row r="43" spans="1:3" x14ac:dyDescent="0.25">
      <c r="A43">
        <v>2021</v>
      </c>
      <c r="B43">
        <v>141.6</v>
      </c>
      <c r="C43" s="11">
        <f t="shared" si="0"/>
        <v>3.3576642335766384E-2</v>
      </c>
    </row>
    <row r="44" spans="1:3" x14ac:dyDescent="0.25">
      <c r="A44">
        <v>2022</v>
      </c>
      <c r="B44">
        <v>151.19999999999999</v>
      </c>
      <c r="C44" s="11">
        <f t="shared" si="0"/>
        <v>6.7796610169491484E-2</v>
      </c>
    </row>
    <row r="45" spans="1:3" x14ac:dyDescent="0.25">
      <c r="A45">
        <v>2023</v>
      </c>
      <c r="B45">
        <v>157.1</v>
      </c>
      <c r="C45" s="11">
        <f t="shared" si="0"/>
        <v>3.9021164021164061E-2</v>
      </c>
    </row>
    <row r="46" spans="1:3" x14ac:dyDescent="0.25">
      <c r="A46">
        <v>2024</v>
      </c>
      <c r="B46">
        <v>160.9</v>
      </c>
      <c r="C46" s="11">
        <f t="shared" si="0"/>
        <v>2.4188415022278878E-2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C1DA-6BFE-4AF0-9AE9-D8CAF7A89B69}">
  <sheetPr codeName="Sheet5"/>
  <dimension ref="A1:C9"/>
  <sheetViews>
    <sheetView workbookViewId="0">
      <selection activeCell="A7" sqref="A7:B9"/>
    </sheetView>
  </sheetViews>
  <sheetFormatPr defaultRowHeight="15" x14ac:dyDescent="0.25"/>
  <cols>
    <col min="1" max="1" width="22.28515625" customWidth="1"/>
    <col min="2" max="2" width="19.28515625" customWidth="1"/>
  </cols>
  <sheetData>
    <row r="1" spans="1:3" ht="30" x14ac:dyDescent="0.25">
      <c r="A1" s="14" t="s">
        <v>58</v>
      </c>
      <c r="B1" s="13" t="s">
        <v>39</v>
      </c>
    </row>
    <row r="2" spans="1:3" x14ac:dyDescent="0.25">
      <c r="A2" s="12" t="s">
        <v>40</v>
      </c>
      <c r="B2" s="12">
        <v>0.57304999999999995</v>
      </c>
    </row>
    <row r="3" spans="1:3" x14ac:dyDescent="0.25">
      <c r="A3" s="12" t="s">
        <v>42</v>
      </c>
      <c r="B3" s="12">
        <v>-6.0000000000000001E-3</v>
      </c>
    </row>
    <row r="4" spans="1:3" x14ac:dyDescent="0.25">
      <c r="A4" s="12" t="s">
        <v>41</v>
      </c>
      <c r="B4" s="12">
        <v>3.0509999999999999E-2</v>
      </c>
    </row>
    <row r="5" spans="1:3" x14ac:dyDescent="0.25">
      <c r="A5" s="12"/>
      <c r="B5" s="12"/>
    </row>
    <row r="6" spans="1:3" x14ac:dyDescent="0.25">
      <c r="A6" s="14" t="s">
        <v>43</v>
      </c>
      <c r="C6" s="1" t="s">
        <v>49</v>
      </c>
    </row>
    <row r="7" spans="1:3" x14ac:dyDescent="0.25">
      <c r="A7" s="12" t="s">
        <v>44</v>
      </c>
      <c r="B7">
        <f>LN(B4)</f>
        <v>-3.4897007802535587</v>
      </c>
      <c r="C7" s="20" t="s">
        <v>50</v>
      </c>
    </row>
    <row r="8" spans="1:3" x14ac:dyDescent="0.25">
      <c r="A8" s="12" t="s">
        <v>45</v>
      </c>
      <c r="B8">
        <f>B2</f>
        <v>0.57304999999999995</v>
      </c>
      <c r="C8" s="20" t="s">
        <v>40</v>
      </c>
    </row>
    <row r="9" spans="1:3" x14ac:dyDescent="0.25">
      <c r="A9" s="12" t="s">
        <v>48</v>
      </c>
      <c r="B9">
        <f>B3</f>
        <v>-6.0000000000000001E-3</v>
      </c>
      <c r="C9" s="20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5D293-9480-4F19-86EA-8A2CCF597C02}">
  <sheetPr codeName="Sheet6"/>
  <dimension ref="A1:H12"/>
  <sheetViews>
    <sheetView tabSelected="1" workbookViewId="0">
      <selection activeCell="D17" sqref="D17"/>
    </sheetView>
  </sheetViews>
  <sheetFormatPr defaultRowHeight="15" x14ac:dyDescent="0.25"/>
  <cols>
    <col min="1" max="1" width="32.5703125" bestFit="1" customWidth="1"/>
    <col min="4" max="4" width="17.7109375" bestFit="1" customWidth="1"/>
    <col min="5" max="5" width="55" bestFit="1" customWidth="1"/>
  </cols>
  <sheetData>
    <row r="1" spans="1:8" x14ac:dyDescent="0.25">
      <c r="A1" s="1" t="s">
        <v>15</v>
      </c>
      <c r="D1" s="1" t="s">
        <v>24</v>
      </c>
      <c r="E1" s="1"/>
      <c r="G1" s="1" t="s">
        <v>27</v>
      </c>
      <c r="H1" s="1"/>
    </row>
    <row r="2" spans="1:8" x14ac:dyDescent="0.25">
      <c r="A2" s="9" t="s">
        <v>16</v>
      </c>
      <c r="B2">
        <v>0</v>
      </c>
      <c r="D2" s="1"/>
      <c r="E2" s="1"/>
      <c r="G2" s="1"/>
      <c r="H2" s="1"/>
    </row>
    <row r="3" spans="1:8" x14ac:dyDescent="0.25">
      <c r="A3" s="9" t="s">
        <v>17</v>
      </c>
      <c r="B3" t="b">
        <v>0</v>
      </c>
      <c r="D3" s="1" t="s">
        <v>25</v>
      </c>
      <c r="E3" s="1" t="s">
        <v>26</v>
      </c>
      <c r="G3" s="1" t="s">
        <v>25</v>
      </c>
      <c r="H3" s="1" t="s">
        <v>28</v>
      </c>
    </row>
    <row r="4" spans="1:8" x14ac:dyDescent="0.25">
      <c r="A4" s="9" t="s">
        <v>18</v>
      </c>
      <c r="B4">
        <v>1000</v>
      </c>
      <c r="D4" t="s">
        <v>29</v>
      </c>
      <c r="E4" t="s">
        <v>30</v>
      </c>
      <c r="G4" t="s">
        <v>34</v>
      </c>
      <c r="H4" t="s">
        <v>31</v>
      </c>
    </row>
    <row r="5" spans="1:8" x14ac:dyDescent="0.25">
      <c r="A5" s="9" t="s">
        <v>19</v>
      </c>
      <c r="B5" t="b">
        <v>1</v>
      </c>
      <c r="D5" s="21" t="s">
        <v>52</v>
      </c>
      <c r="E5" t="s">
        <v>61</v>
      </c>
      <c r="G5" t="s">
        <v>35</v>
      </c>
      <c r="H5" t="s">
        <v>32</v>
      </c>
    </row>
    <row r="6" spans="1:8" x14ac:dyDescent="0.25">
      <c r="A6" s="9" t="s">
        <v>20</v>
      </c>
      <c r="B6" t="b">
        <v>1</v>
      </c>
      <c r="D6" s="21" t="s">
        <v>53</v>
      </c>
      <c r="E6" t="s">
        <v>61</v>
      </c>
      <c r="G6" t="s">
        <v>36</v>
      </c>
      <c r="H6" t="s">
        <v>33</v>
      </c>
    </row>
    <row r="7" spans="1:8" x14ac:dyDescent="0.25">
      <c r="A7" s="9"/>
      <c r="D7" s="21" t="s">
        <v>54</v>
      </c>
      <c r="E7" t="s">
        <v>61</v>
      </c>
    </row>
    <row r="8" spans="1:8" x14ac:dyDescent="0.25">
      <c r="A8" s="9"/>
      <c r="D8" s="21" t="s">
        <v>55</v>
      </c>
      <c r="E8" t="s">
        <v>61</v>
      </c>
    </row>
    <row r="9" spans="1:8" x14ac:dyDescent="0.25">
      <c r="A9" s="9"/>
      <c r="D9" s="21" t="s">
        <v>56</v>
      </c>
      <c r="E9" t="s">
        <v>61</v>
      </c>
    </row>
    <row r="10" spans="1:8" x14ac:dyDescent="0.25">
      <c r="A10" s="9" t="s">
        <v>21</v>
      </c>
      <c r="D10" s="21" t="s">
        <v>57</v>
      </c>
      <c r="E10" t="s">
        <v>61</v>
      </c>
    </row>
    <row r="11" spans="1:8" x14ac:dyDescent="0.25">
      <c r="A11" s="9" t="s">
        <v>22</v>
      </c>
    </row>
    <row r="12" spans="1:8" x14ac:dyDescent="0.25">
      <c r="A12" s="9" t="s">
        <v>23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e8677e-c989-47b9-8619-d83d5a5f6c67}" enabled="0" method="" siteId="{04e8677e-c989-47b9-8619-d83d5a5f6c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Model</vt:lpstr>
      <vt:lpstr>Assumptions</vt:lpstr>
      <vt:lpstr>O&amp;M</vt:lpstr>
      <vt:lpstr>Inflation data</vt:lpstr>
      <vt:lpstr>Lognormal fit</vt:lpstr>
      <vt:lpstr>XLRisk</vt:lpstr>
      <vt:lpstr>Borrowing_rate</vt:lpstr>
      <vt:lpstr>XLRisk!CalcDataTables</vt:lpstr>
      <vt:lpstr>Inflation_mean</vt:lpstr>
      <vt:lpstr>Inflation_rate</vt:lpstr>
      <vt:lpstr>Inflation_shift</vt:lpstr>
      <vt:lpstr>Inflation_std</vt:lpstr>
      <vt:lpstr>XLRisk!Iterations</vt:lpstr>
      <vt:lpstr>XLRisk!LatinHypercube</vt:lpstr>
      <vt:lpstr>XLRisk!MacroAfter</vt:lpstr>
      <vt:lpstr>XLRisk!MacroAfterSimulation</vt:lpstr>
      <vt:lpstr>XLRisk!MacroBefore</vt:lpstr>
      <vt:lpstr>Real_interest_rate</vt:lpstr>
      <vt:lpstr>XLRisk!RiskInputs</vt:lpstr>
      <vt:lpstr>XLRisk!RiskOutputs</vt:lpstr>
      <vt:lpstr>XLRisk!ScreenUpdate</vt:lpstr>
      <vt:lpstr>XLRisk!Seed</vt:lpstr>
      <vt:lpstr>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Brydon</dc:creator>
  <cp:lastModifiedBy>Michael Brydon</cp:lastModifiedBy>
  <dcterms:created xsi:type="dcterms:W3CDTF">2025-08-21T19:09:37Z</dcterms:created>
  <dcterms:modified xsi:type="dcterms:W3CDTF">2025-11-19T04:43:48Z</dcterms:modified>
</cp:coreProperties>
</file>