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5480" windowHeight="11640" tabRatio="607"/>
  </bookViews>
  <sheets>
    <sheet name="419_class_11-3" sheetId="1" r:id="rId1"/>
    <sheet name="Reference" sheetId="2" r:id="rId2"/>
  </sheets>
  <definedNames>
    <definedName name="_xlnm._FilterDatabase" localSheetId="0" hidden="1">'419_class_11-3'!$B$3:$AX$37</definedName>
    <definedName name="solver_adj" localSheetId="1" hidden="1">Reference!$F$7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Reference!$F$11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0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C27" i="1" l="1"/>
  <c r="CB27" i="1"/>
  <c r="BU27" i="1"/>
  <c r="BT27" i="1"/>
  <c r="CC18" i="1"/>
  <c r="CB18" i="1"/>
  <c r="BU18" i="1"/>
  <c r="BT18" i="1"/>
  <c r="CC34" i="1"/>
  <c r="CB34" i="1"/>
  <c r="BU34" i="1"/>
  <c r="CC19" i="1"/>
  <c r="CB19" i="1"/>
  <c r="BU19" i="1"/>
  <c r="BT19" i="1"/>
  <c r="CC12" i="1"/>
  <c r="CC13" i="1"/>
  <c r="CB12" i="1"/>
  <c r="CB13" i="1"/>
  <c r="BU12" i="1"/>
  <c r="BU13" i="1"/>
  <c r="BT12" i="1"/>
  <c r="BT13" i="1"/>
  <c r="AP13" i="1"/>
  <c r="H19" i="1"/>
  <c r="CC28" i="1"/>
  <c r="CB28" i="1"/>
  <c r="BT28" i="1"/>
  <c r="BU28" i="1"/>
  <c r="I28" i="1"/>
  <c r="Q28" i="1"/>
  <c r="Y28" i="1"/>
  <c r="AG28" i="1"/>
  <c r="AQ28" i="1"/>
  <c r="X28" i="1"/>
  <c r="AF28" i="1"/>
  <c r="AP28" i="1"/>
  <c r="BJ28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9" i="1"/>
  <c r="BJ30" i="1"/>
  <c r="BJ31" i="1"/>
  <c r="BJ32" i="1"/>
  <c r="BJ33" i="1"/>
  <c r="BJ34" i="1"/>
  <c r="BJ35" i="1"/>
  <c r="BJ36" i="1"/>
  <c r="BJ37" i="1"/>
  <c r="BJ5" i="1"/>
  <c r="BJ6" i="1"/>
  <c r="BJ7" i="1"/>
  <c r="BJ8" i="1"/>
  <c r="BJ9" i="1"/>
  <c r="BJ10" i="1"/>
  <c r="BJ11" i="1"/>
  <c r="BJ12" i="1"/>
  <c r="BJ13" i="1"/>
  <c r="BJ14" i="1"/>
  <c r="BJ4" i="1"/>
  <c r="BU7" i="1"/>
  <c r="BU8" i="1"/>
  <c r="AZ34" i="1"/>
  <c r="AZ20" i="1"/>
  <c r="AZ17" i="1"/>
  <c r="AZ15" i="1"/>
  <c r="AZ36" i="1"/>
  <c r="AZ37" i="1"/>
  <c r="AZ35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21" i="1"/>
  <c r="AZ19" i="1"/>
  <c r="AZ18" i="1"/>
  <c r="AZ16" i="1"/>
  <c r="AZ5" i="1"/>
  <c r="AZ6" i="1"/>
  <c r="AZ7" i="1"/>
  <c r="AZ8" i="1"/>
  <c r="AZ9" i="1"/>
  <c r="AZ10" i="1"/>
  <c r="AZ11" i="1"/>
  <c r="AZ12" i="1"/>
  <c r="AZ13" i="1"/>
  <c r="AZ14" i="1"/>
  <c r="AZ4" i="1"/>
  <c r="BK5" i="1"/>
  <c r="BK6" i="1"/>
  <c r="BK7" i="1"/>
  <c r="BK8" i="1"/>
  <c r="BK9" i="1"/>
  <c r="BK10" i="1"/>
  <c r="BK11" i="1"/>
  <c r="BK12" i="1"/>
  <c r="BK13" i="1"/>
  <c r="BK4" i="1"/>
  <c r="CC37" i="1"/>
  <c r="CB37" i="1"/>
  <c r="BU37" i="1"/>
  <c r="BU32" i="1"/>
  <c r="BT37" i="1"/>
  <c r="BA34" i="1"/>
  <c r="BA20" i="1"/>
  <c r="BA17" i="1"/>
  <c r="BA15" i="1"/>
  <c r="BA13" i="1"/>
  <c r="BA14" i="1"/>
  <c r="BA16" i="1"/>
  <c r="BA18" i="1"/>
  <c r="BA19" i="1"/>
  <c r="BA21" i="1"/>
  <c r="BA22" i="1"/>
  <c r="BA23" i="1"/>
  <c r="BA24" i="1"/>
  <c r="BA25" i="1"/>
  <c r="BA26" i="1"/>
  <c r="BA27" i="1"/>
  <c r="BA28" i="1"/>
  <c r="BK28" i="1"/>
  <c r="F28" i="1" s="1"/>
  <c r="BA29" i="1"/>
  <c r="BA30" i="1"/>
  <c r="BA31" i="1"/>
  <c r="BA32" i="1"/>
  <c r="BA33" i="1"/>
  <c r="BA35" i="1"/>
  <c r="BA36" i="1"/>
  <c r="BA37" i="1"/>
  <c r="BA12" i="1"/>
  <c r="BK32" i="1"/>
  <c r="BK15" i="1"/>
  <c r="BK14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9" i="1"/>
  <c r="BK30" i="1"/>
  <c r="BK31" i="1"/>
  <c r="BK33" i="1"/>
  <c r="BK34" i="1"/>
  <c r="BK35" i="1"/>
  <c r="BK36" i="1"/>
  <c r="BK37" i="1"/>
  <c r="I31" i="1"/>
  <c r="Q31" i="1"/>
  <c r="Y31" i="1"/>
  <c r="F31" i="1" s="1"/>
  <c r="AG31" i="1"/>
  <c r="AQ31" i="1"/>
  <c r="BU31" i="1"/>
  <c r="CC31" i="1"/>
  <c r="BT31" i="1"/>
  <c r="AP4" i="1"/>
  <c r="BT5" i="1"/>
  <c r="BT6" i="1"/>
  <c r="BT7" i="1"/>
  <c r="BT8" i="1"/>
  <c r="BT9" i="1"/>
  <c r="BT10" i="1"/>
  <c r="BT11" i="1"/>
  <c r="BT14" i="1"/>
  <c r="BT15" i="1"/>
  <c r="BT16" i="1"/>
  <c r="BT20" i="1"/>
  <c r="BT21" i="1"/>
  <c r="BT22" i="1"/>
  <c r="BT23" i="1"/>
  <c r="BT24" i="1"/>
  <c r="BT26" i="1"/>
  <c r="BT29" i="1"/>
  <c r="BT30" i="1"/>
  <c r="BT32" i="1"/>
  <c r="BT35" i="1"/>
  <c r="BU5" i="1"/>
  <c r="BU6" i="1"/>
  <c r="BU9" i="1"/>
  <c r="BU10" i="1"/>
  <c r="BU11" i="1"/>
  <c r="BU14" i="1"/>
  <c r="BU15" i="1"/>
  <c r="BU16" i="1"/>
  <c r="BU20" i="1"/>
  <c r="BU21" i="1"/>
  <c r="BU22" i="1"/>
  <c r="BU23" i="1"/>
  <c r="BU24" i="1"/>
  <c r="BU26" i="1"/>
  <c r="BU29" i="1"/>
  <c r="BU30" i="1"/>
  <c r="BU35" i="1"/>
  <c r="BU4" i="1"/>
  <c r="CC5" i="1"/>
  <c r="CC6" i="1"/>
  <c r="CC7" i="1"/>
  <c r="CC8" i="1"/>
  <c r="CC9" i="1"/>
  <c r="CC10" i="1"/>
  <c r="CC11" i="1"/>
  <c r="CC14" i="1"/>
  <c r="CC15" i="1"/>
  <c r="CC16" i="1"/>
  <c r="CC20" i="1"/>
  <c r="CC21" i="1"/>
  <c r="CC22" i="1"/>
  <c r="CC23" i="1"/>
  <c r="CC24" i="1"/>
  <c r="CC26" i="1"/>
  <c r="CC29" i="1"/>
  <c r="CC30" i="1"/>
  <c r="CC32" i="1"/>
  <c r="CC35" i="1"/>
  <c r="CC4" i="1"/>
  <c r="CB5" i="1"/>
  <c r="CB6" i="1"/>
  <c r="CB7" i="1"/>
  <c r="CB8" i="1"/>
  <c r="CB9" i="1"/>
  <c r="CB10" i="1"/>
  <c r="CB11" i="1"/>
  <c r="CB14" i="1"/>
  <c r="CB15" i="1"/>
  <c r="CB16" i="1"/>
  <c r="CB20" i="1"/>
  <c r="CB21" i="1"/>
  <c r="CB22" i="1"/>
  <c r="CB23" i="1"/>
  <c r="CB24" i="1"/>
  <c r="CB26" i="1"/>
  <c r="CB29" i="1"/>
  <c r="CB30" i="1"/>
  <c r="CB31" i="1"/>
  <c r="CB32" i="1"/>
  <c r="CB35" i="1"/>
  <c r="CB4" i="1"/>
  <c r="BT4" i="1"/>
  <c r="X6" i="1"/>
  <c r="Q6" i="1"/>
  <c r="Y9" i="1"/>
  <c r="Q11" i="1"/>
  <c r="BA9" i="1"/>
  <c r="BA11" i="1"/>
  <c r="BA10" i="1"/>
  <c r="BA6" i="1"/>
  <c r="BA5" i="1"/>
  <c r="I22" i="1"/>
  <c r="Q22" i="1"/>
  <c r="Y22" i="1"/>
  <c r="AG22" i="1"/>
  <c r="AQ22" i="1"/>
  <c r="F22" i="1"/>
  <c r="H23" i="1"/>
  <c r="P23" i="1"/>
  <c r="X23" i="1"/>
  <c r="AF23" i="1"/>
  <c r="AP23" i="1"/>
  <c r="E23" i="1"/>
  <c r="AQ9" i="1"/>
  <c r="AP9" i="1"/>
  <c r="AP10" i="1"/>
  <c r="AQ10" i="1"/>
  <c r="AG9" i="1"/>
  <c r="AF9" i="1"/>
  <c r="AQ23" i="1"/>
  <c r="AG23" i="1"/>
  <c r="Y25" i="1"/>
  <c r="X25" i="1"/>
  <c r="AQ25" i="1"/>
  <c r="AP25" i="1"/>
  <c r="AG25" i="1"/>
  <c r="AF25" i="1"/>
  <c r="AG21" i="1"/>
  <c r="AG37" i="1"/>
  <c r="AG27" i="1"/>
  <c r="AG29" i="1"/>
  <c r="AG30" i="1"/>
  <c r="AG32" i="1"/>
  <c r="AG33" i="1"/>
  <c r="AG34" i="1"/>
  <c r="AG35" i="1"/>
  <c r="AG26" i="1"/>
  <c r="AG24" i="1"/>
  <c r="AG11" i="1"/>
  <c r="AG12" i="1"/>
  <c r="AG13" i="1"/>
  <c r="AG14" i="1"/>
  <c r="AG15" i="1"/>
  <c r="AG16" i="1"/>
  <c r="AG17" i="1"/>
  <c r="AG18" i="1"/>
  <c r="AG19" i="1"/>
  <c r="AG20" i="1"/>
  <c r="AG10" i="1"/>
  <c r="AG5" i="1"/>
  <c r="AG6" i="1"/>
  <c r="AG7" i="1"/>
  <c r="AG8" i="1"/>
  <c r="AG4" i="1"/>
  <c r="AQ21" i="1"/>
  <c r="AQ37" i="1"/>
  <c r="AQ27" i="1"/>
  <c r="AQ29" i="1"/>
  <c r="AQ30" i="1"/>
  <c r="AQ32" i="1"/>
  <c r="AQ33" i="1"/>
  <c r="AQ34" i="1"/>
  <c r="AQ35" i="1"/>
  <c r="AQ26" i="1"/>
  <c r="AQ24" i="1"/>
  <c r="AQ11" i="1"/>
  <c r="AQ12" i="1"/>
  <c r="AQ13" i="1"/>
  <c r="AQ14" i="1"/>
  <c r="AQ15" i="1"/>
  <c r="AQ16" i="1"/>
  <c r="AQ17" i="1"/>
  <c r="AQ18" i="1"/>
  <c r="AQ19" i="1"/>
  <c r="AQ20" i="1"/>
  <c r="AQ5" i="1"/>
  <c r="AQ6" i="1"/>
  <c r="AQ7" i="1"/>
  <c r="AQ8" i="1"/>
  <c r="AQ4" i="1"/>
  <c r="AP21" i="1"/>
  <c r="AP27" i="1"/>
  <c r="AP29" i="1"/>
  <c r="AP30" i="1"/>
  <c r="AP31" i="1"/>
  <c r="AP32" i="1"/>
  <c r="AP33" i="1"/>
  <c r="AP34" i="1"/>
  <c r="AP26" i="1"/>
  <c r="AP24" i="1"/>
  <c r="AP17" i="1"/>
  <c r="AP18" i="1"/>
  <c r="AP19" i="1"/>
  <c r="AP20" i="1"/>
  <c r="AP22" i="1"/>
  <c r="AP16" i="1"/>
  <c r="AP11" i="1"/>
  <c r="AP12" i="1"/>
  <c r="AP5" i="1"/>
  <c r="AP6" i="1"/>
  <c r="AP7" i="1"/>
  <c r="AP8" i="1"/>
  <c r="Y19" i="1"/>
  <c r="Y20" i="1"/>
  <c r="Y14" i="1"/>
  <c r="Y18" i="1"/>
  <c r="AF20" i="1"/>
  <c r="AF5" i="1"/>
  <c r="AF30" i="1"/>
  <c r="AF31" i="1"/>
  <c r="H15" i="1"/>
  <c r="E15" i="1" s="1"/>
  <c r="D15" i="1" s="1"/>
  <c r="P15" i="1"/>
  <c r="X15" i="1"/>
  <c r="AF15" i="1"/>
  <c r="AP15" i="1"/>
  <c r="I15" i="1"/>
  <c r="F15" i="1" s="1"/>
  <c r="Q15" i="1"/>
  <c r="Y15" i="1"/>
  <c r="Y21" i="1"/>
  <c r="Y35" i="1"/>
  <c r="X35" i="1"/>
  <c r="Q35" i="1"/>
  <c r="P35" i="1"/>
  <c r="I35" i="1"/>
  <c r="F35" i="1"/>
  <c r="H35" i="1"/>
  <c r="AF35" i="1"/>
  <c r="AP35" i="1"/>
  <c r="E35" i="1"/>
  <c r="AF19" i="1"/>
  <c r="P19" i="1"/>
  <c r="P31" i="1"/>
  <c r="Q19" i="1"/>
  <c r="AF14" i="1"/>
  <c r="AP14" i="1"/>
  <c r="Y5" i="1"/>
  <c r="Y6" i="1"/>
  <c r="Y7" i="1"/>
  <c r="Y8" i="1"/>
  <c r="Y10" i="1"/>
  <c r="Y11" i="1"/>
  <c r="Y12" i="1"/>
  <c r="Y13" i="1"/>
  <c r="Y16" i="1"/>
  <c r="Y17" i="1"/>
  <c r="Y23" i="1"/>
  <c r="Y24" i="1"/>
  <c r="Y26" i="1"/>
  <c r="Y27" i="1"/>
  <c r="Y29" i="1"/>
  <c r="Y30" i="1"/>
  <c r="Y32" i="1"/>
  <c r="Y33" i="1"/>
  <c r="Y34" i="1"/>
  <c r="Y36" i="1"/>
  <c r="Y37" i="1"/>
  <c r="AF8" i="1"/>
  <c r="X8" i="1"/>
  <c r="AF17" i="1"/>
  <c r="AF29" i="1"/>
  <c r="AF11" i="1"/>
  <c r="X11" i="1"/>
  <c r="I11" i="1"/>
  <c r="F11" i="1" s="1"/>
  <c r="H11" i="1"/>
  <c r="AF22" i="1"/>
  <c r="X22" i="1"/>
  <c r="I18" i="1"/>
  <c r="Q18" i="1"/>
  <c r="F18" i="1" s="1"/>
  <c r="AF18" i="1"/>
  <c r="AF12" i="1"/>
  <c r="AF13" i="1"/>
  <c r="AF4" i="1"/>
  <c r="AP37" i="1"/>
  <c r="AF37" i="1"/>
  <c r="I32" i="1"/>
  <c r="Q32" i="1"/>
  <c r="F32" i="1"/>
  <c r="I33" i="1"/>
  <c r="Q33" i="1"/>
  <c r="F33" i="1" s="1"/>
  <c r="I34" i="1"/>
  <c r="Q34" i="1"/>
  <c r="F34" i="1"/>
  <c r="I37" i="1"/>
  <c r="Q37" i="1"/>
  <c r="F37" i="1" s="1"/>
  <c r="I21" i="1"/>
  <c r="Q21" i="1"/>
  <c r="F21" i="1"/>
  <c r="P21" i="1"/>
  <c r="P37" i="1"/>
  <c r="AF7" i="1"/>
  <c r="X7" i="1"/>
  <c r="Q7" i="1"/>
  <c r="H26" i="1"/>
  <c r="P26" i="1"/>
  <c r="X26" i="1"/>
  <c r="AF26" i="1"/>
  <c r="E26" i="1"/>
  <c r="I26" i="1"/>
  <c r="Q26" i="1"/>
  <c r="F26" i="1" s="1"/>
  <c r="D26" i="1" s="1"/>
  <c r="AF21" i="1"/>
  <c r="AF6" i="1"/>
  <c r="AF10" i="1"/>
  <c r="AF16" i="1"/>
  <c r="AF24" i="1"/>
  <c r="AF27" i="1"/>
  <c r="AF32" i="1"/>
  <c r="AF33" i="1"/>
  <c r="AF34" i="1"/>
  <c r="X36" i="1"/>
  <c r="P36" i="1"/>
  <c r="Q5" i="1"/>
  <c r="Q8" i="1"/>
  <c r="Q9" i="1"/>
  <c r="Q10" i="1"/>
  <c r="Q12" i="1"/>
  <c r="Q13" i="1"/>
  <c r="Q14" i="1"/>
  <c r="Q16" i="1"/>
  <c r="Q17" i="1"/>
  <c r="Q20" i="1"/>
  <c r="F20" i="1" s="1"/>
  <c r="Q23" i="1"/>
  <c r="Q24" i="1"/>
  <c r="Q25" i="1"/>
  <c r="Q27" i="1"/>
  <c r="Q29" i="1"/>
  <c r="Q30" i="1"/>
  <c r="Q36" i="1"/>
  <c r="F36" i="1" s="1"/>
  <c r="Q4" i="1"/>
  <c r="Y4" i="1"/>
  <c r="X37" i="1"/>
  <c r="X31" i="1"/>
  <c r="X30" i="1"/>
  <c r="X27" i="1"/>
  <c r="X20" i="1"/>
  <c r="X19" i="1"/>
  <c r="X18" i="1"/>
  <c r="X14" i="1"/>
  <c r="X13" i="1"/>
  <c r="X4" i="1"/>
  <c r="X21" i="1"/>
  <c r="X34" i="1"/>
  <c r="X33" i="1"/>
  <c r="X32" i="1"/>
  <c r="X29" i="1"/>
  <c r="X24" i="1"/>
  <c r="X16" i="1"/>
  <c r="X12" i="1"/>
  <c r="X10" i="1"/>
  <c r="X9" i="1"/>
  <c r="X5" i="1"/>
  <c r="H36" i="1"/>
  <c r="E36" i="1"/>
  <c r="H21" i="1"/>
  <c r="E21" i="1" s="1"/>
  <c r="D21" i="1" s="1"/>
  <c r="H37" i="1"/>
  <c r="E37" i="1"/>
  <c r="D37" i="1" s="1"/>
  <c r="H34" i="1"/>
  <c r="P34" i="1"/>
  <c r="E34" i="1"/>
  <c r="H33" i="1"/>
  <c r="P33" i="1"/>
  <c r="E33" i="1" s="1"/>
  <c r="D33" i="1" s="1"/>
  <c r="H32" i="1"/>
  <c r="P32" i="1"/>
  <c r="E32" i="1" s="1"/>
  <c r="D32" i="1" s="1"/>
  <c r="H31" i="1"/>
  <c r="E31" i="1"/>
  <c r="D31" i="1" s="1"/>
  <c r="H30" i="1"/>
  <c r="P30" i="1"/>
  <c r="E30" i="1"/>
  <c r="H29" i="1"/>
  <c r="P29" i="1"/>
  <c r="E29" i="1" s="1"/>
  <c r="H28" i="1"/>
  <c r="P28" i="1"/>
  <c r="E28" i="1"/>
  <c r="D28" i="1" s="1"/>
  <c r="H27" i="1"/>
  <c r="P27" i="1"/>
  <c r="E27" i="1"/>
  <c r="H25" i="1"/>
  <c r="P25" i="1"/>
  <c r="E25" i="1" s="1"/>
  <c r="H24" i="1"/>
  <c r="P24" i="1"/>
  <c r="E24" i="1"/>
  <c r="H22" i="1"/>
  <c r="P22" i="1"/>
  <c r="E22" i="1" s="1"/>
  <c r="D22" i="1" s="1"/>
  <c r="H18" i="1"/>
  <c r="P18" i="1"/>
  <c r="E18" i="1" s="1"/>
  <c r="D18" i="1" s="1"/>
  <c r="H17" i="1"/>
  <c r="E17" i="1" s="1"/>
  <c r="D17" i="1" s="1"/>
  <c r="P17" i="1"/>
  <c r="X17" i="1"/>
  <c r="H16" i="1"/>
  <c r="P16" i="1"/>
  <c r="E16" i="1"/>
  <c r="H14" i="1"/>
  <c r="P14" i="1"/>
  <c r="E14" i="1" s="1"/>
  <c r="D14" i="1" s="1"/>
  <c r="H13" i="1"/>
  <c r="H12" i="1"/>
  <c r="H10" i="1"/>
  <c r="P10" i="1"/>
  <c r="E10" i="1"/>
  <c r="D10" i="1" s="1"/>
  <c r="H9" i="1"/>
  <c r="P9" i="1"/>
  <c r="E9" i="1" s="1"/>
  <c r="D9" i="1" s="1"/>
  <c r="H8" i="1"/>
  <c r="P8" i="1"/>
  <c r="E8" i="1"/>
  <c r="H7" i="1"/>
  <c r="P7" i="1"/>
  <c r="E7" i="1" s="1"/>
  <c r="D7" i="1" s="1"/>
  <c r="H6" i="1"/>
  <c r="P6" i="1"/>
  <c r="E6" i="1"/>
  <c r="D6" i="1" s="1"/>
  <c r="H5" i="1"/>
  <c r="P5" i="1"/>
  <c r="E5" i="1" s="1"/>
  <c r="D5" i="1" s="1"/>
  <c r="I30" i="1"/>
  <c r="F30" i="1" s="1"/>
  <c r="D30" i="1" s="1"/>
  <c r="I29" i="1"/>
  <c r="F29" i="1" s="1"/>
  <c r="I27" i="1"/>
  <c r="F27" i="1" s="1"/>
  <c r="D27" i="1" s="1"/>
  <c r="I25" i="1"/>
  <c r="F25" i="1" s="1"/>
  <c r="I24" i="1"/>
  <c r="F24" i="1" s="1"/>
  <c r="D24" i="1" s="1"/>
  <c r="I23" i="1"/>
  <c r="F23" i="1" s="1"/>
  <c r="D23" i="1" s="1"/>
  <c r="I19" i="1"/>
  <c r="F19" i="1" s="1"/>
  <c r="I17" i="1"/>
  <c r="F17" i="1"/>
  <c r="I16" i="1"/>
  <c r="F16" i="1"/>
  <c r="I14" i="1"/>
  <c r="F14" i="1"/>
  <c r="I13" i="1"/>
  <c r="I12" i="1"/>
  <c r="F12" i="1" s="1"/>
  <c r="D12" i="1" s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H4" i="1"/>
  <c r="P4" i="1"/>
  <c r="E4" i="1" s="1"/>
  <c r="D4" i="1" s="1"/>
  <c r="P20" i="1"/>
  <c r="E20" i="1"/>
  <c r="D20" i="1" s="1"/>
  <c r="P11" i="1"/>
  <c r="E11" i="1" s="1"/>
  <c r="D11" i="1" s="1"/>
  <c r="P12" i="1"/>
  <c r="P13" i="1"/>
  <c r="E13" i="1" s="1"/>
  <c r="D13" i="1" s="1"/>
  <c r="T4" i="2"/>
  <c r="D34" i="1"/>
  <c r="E12" i="1"/>
  <c r="D8" i="1"/>
  <c r="D16" i="1"/>
  <c r="D35" i="1"/>
  <c r="E19" i="1"/>
  <c r="D19" i="1" s="1"/>
  <c r="F13" i="1"/>
  <c r="D25" i="1" l="1"/>
  <c r="D29" i="1"/>
  <c r="D36" i="1"/>
</calcChain>
</file>

<file path=xl/comments1.xml><?xml version="1.0" encoding="utf-8"?>
<comments xmlns="http://schemas.openxmlformats.org/spreadsheetml/2006/main">
  <authors>
    <author>Tommy Yip</author>
  </authors>
  <commentList>
    <comment ref="E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update this column to include new trade
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update this column to include new trade
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Set margin to 0 if closing date exists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V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AL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AN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AV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AX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BF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BH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BP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BR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BZ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  <comment ref="CI3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dont update price if position is closed</t>
        </r>
      </text>
    </comment>
  </commentList>
</comments>
</file>

<file path=xl/comments2.xml><?xml version="1.0" encoding="utf-8"?>
<comments xmlns="http://schemas.openxmlformats.org/spreadsheetml/2006/main">
  <authors>
    <author>Tommy Yip</author>
  </authors>
  <commentList>
    <comment ref="R4" authorId="0">
      <text>
        <r>
          <rPr>
            <b/>
            <sz val="8"/>
            <color indexed="81"/>
            <rFont val="Tahoma"/>
            <family val="2"/>
          </rPr>
          <t>Tommy Yip:</t>
        </r>
        <r>
          <rPr>
            <sz val="8"/>
            <color indexed="81"/>
            <rFont val="Tahoma"/>
            <family val="2"/>
          </rPr>
          <t xml:space="preserve">
a 1 to 1 copper futures spread requires 150 for margin, i divided it by 2 for each side of the trade</t>
        </r>
      </text>
    </comment>
  </commentList>
</comments>
</file>

<file path=xl/sharedStrings.xml><?xml version="1.0" encoding="utf-8"?>
<sst xmlns="http://schemas.openxmlformats.org/spreadsheetml/2006/main" count="568" uniqueCount="213">
  <si>
    <t xml:space="preserve">Guan,Min Chen                                     </t>
  </si>
  <si>
    <t>(Karen)</t>
  </si>
  <si>
    <t xml:space="preserve">Kaur,Bhupinder                                    </t>
  </si>
  <si>
    <t>(Bhupinder)</t>
  </si>
  <si>
    <t xml:space="preserve">Li,Kezheng                                        </t>
  </si>
  <si>
    <t>(Kezheng)</t>
  </si>
  <si>
    <t xml:space="preserve">Li,Ruolin                                         </t>
  </si>
  <si>
    <t>(Ruolin)</t>
  </si>
  <si>
    <t>N/A</t>
  </si>
  <si>
    <t xml:space="preserve">Li,Yuxin                                          </t>
  </si>
  <si>
    <t>(Yuxin)</t>
  </si>
  <si>
    <t xml:space="preserve">Ling,Justin Adam                                  </t>
  </si>
  <si>
    <t>(Justin)</t>
  </si>
  <si>
    <t xml:space="preserve">Lypkie,Katherine Suzanne                          </t>
  </si>
  <si>
    <t>(Katherine)</t>
  </si>
  <si>
    <t xml:space="preserve">Nica,Irina Livia                                  </t>
  </si>
  <si>
    <t>(Irina)</t>
  </si>
  <si>
    <t>S 2 BIG DOW</t>
  </si>
  <si>
    <t xml:space="preserve">Olson,Thomas Arthur                               </t>
  </si>
  <si>
    <t>(Thomas)</t>
  </si>
  <si>
    <t xml:space="preserve">Sandhu,Gurjeet Singh                              </t>
  </si>
  <si>
    <t>(Gurjeet)</t>
  </si>
  <si>
    <t xml:space="preserve">Sandhu,Tejvirinder Singh                          </t>
  </si>
  <si>
    <t>(Tej)</t>
  </si>
  <si>
    <t xml:space="preserve">Sugiarto,Paul's Taufik                            </t>
  </si>
  <si>
    <t>(Paul's)</t>
  </si>
  <si>
    <t xml:space="preserve">Tang,Chin Pang Gordon                             </t>
  </si>
  <si>
    <t>(Gordon)</t>
  </si>
  <si>
    <t xml:space="preserve">Tang,Lingfei                                      </t>
  </si>
  <si>
    <t>(Yi Peng)</t>
  </si>
  <si>
    <t xml:space="preserve">Zhou,Xiangwen                                     </t>
  </si>
  <si>
    <t>(Joyce)</t>
  </si>
  <si>
    <t xml:space="preserve">Zhou,Xiaoyu                                       </t>
  </si>
  <si>
    <t>(Xiaoyu)</t>
  </si>
  <si>
    <t>Professor Poitras</t>
  </si>
  <si>
    <t>L 4 CAD $</t>
  </si>
  <si>
    <t>Net Cash</t>
  </si>
  <si>
    <t>Position Size</t>
  </si>
  <si>
    <t>L 4 EUR</t>
  </si>
  <si>
    <t xml:space="preserve">L 4 BRL </t>
  </si>
  <si>
    <t xml:space="preserve">L 4 AUD </t>
  </si>
  <si>
    <t xml:space="preserve">L 4 EUR </t>
  </si>
  <si>
    <t xml:space="preserve">S 4 EUR </t>
  </si>
  <si>
    <t xml:space="preserve">S 4 AUD </t>
  </si>
  <si>
    <t>CAD</t>
  </si>
  <si>
    <t>EUR</t>
  </si>
  <si>
    <t>BRL</t>
  </si>
  <si>
    <t>AUD</t>
  </si>
  <si>
    <t>S&amp;P 500</t>
  </si>
  <si>
    <t>Delivery Date</t>
  </si>
  <si>
    <t>Trade #</t>
  </si>
  <si>
    <t>Type</t>
  </si>
  <si>
    <t>Margin</t>
  </si>
  <si>
    <t>EUR (intra)</t>
  </si>
  <si>
    <t>Copper (intra)</t>
  </si>
  <si>
    <t>Nat Gas</t>
  </si>
  <si>
    <t>Prices</t>
  </si>
  <si>
    <t>Silver (intra)</t>
  </si>
  <si>
    <t>Silver (Intra)</t>
  </si>
  <si>
    <t>Closing Date</t>
  </si>
  <si>
    <t>Position</t>
  </si>
  <si>
    <t>Initial Price</t>
  </si>
  <si>
    <t>Full Name</t>
  </si>
  <si>
    <t>?</t>
    <phoneticPr fontId="13" type="noConversion"/>
  </si>
  <si>
    <t xml:space="preserve">Oct 17th </t>
    <phoneticPr fontId="13" type="noConversion"/>
  </si>
  <si>
    <t>October 17th, 2011</t>
    <phoneticPr fontId="13" type="noConversion"/>
  </si>
  <si>
    <t>Net Cash</t>
    <phoneticPr fontId="13" type="noConversion"/>
  </si>
  <si>
    <t>Crude Oil Volatility Index</t>
  </si>
  <si>
    <t>Brent Crude Oil Last Day Financial Futures</t>
  </si>
  <si>
    <t>L 8 Brent Crude Last Day</t>
  </si>
  <si>
    <t>no trade</t>
  </si>
  <si>
    <t>L 4 EUR (close)</t>
  </si>
  <si>
    <t>S 50 EUR @ Mar 12/ L 50 EUR @ Mar 13</t>
  </si>
  <si>
    <t>50 one to one futures (metal)</t>
  </si>
  <si>
    <t>50 one to one futures (currency)</t>
  </si>
  <si>
    <t>Initial Price (the near part)</t>
  </si>
  <si>
    <t>Initial Price (the deferred part)</t>
  </si>
  <si>
    <t>L 50 EUR @ Mar 12/ S 50 EUR @ Dec 12</t>
  </si>
  <si>
    <t>Student_name</t>
  </si>
  <si>
    <t>Trade 1: Trading naked futures positions (Long or Short)</t>
  </si>
  <si>
    <t>Trade 2: One-to-one futures spreads</t>
  </si>
  <si>
    <t>Trade 3: Tailed Spreads</t>
  </si>
  <si>
    <t xml:space="preserve"> </t>
  </si>
  <si>
    <t>4 Currency FUT</t>
  </si>
  <si>
    <t>2 Stock Index FUT</t>
  </si>
  <si>
    <t>8 Energy FUT</t>
  </si>
  <si>
    <t xml:space="preserve">Brkic,Adnan                                       </t>
  </si>
  <si>
    <t>(Adnan)</t>
  </si>
  <si>
    <t>L 4 CAD</t>
  </si>
  <si>
    <t>S 2 S&amp;P 500</t>
  </si>
  <si>
    <t>L 8 Crude Oil Volatility Index (VIX)</t>
  </si>
  <si>
    <t xml:space="preserve">Cai,Kevin Jin Cheng                               </t>
  </si>
  <si>
    <t>(Kevin)</t>
  </si>
  <si>
    <t>L 2 S&amp;P 500</t>
  </si>
  <si>
    <t>L 8 NG</t>
  </si>
  <si>
    <t xml:space="preserve">Chan,Joseph Wai Cheong                            </t>
  </si>
  <si>
    <t>(Joseph)</t>
  </si>
  <si>
    <t xml:space="preserve">Cheung,Ka Shing                                   </t>
  </si>
  <si>
    <t>(Patton)</t>
  </si>
  <si>
    <t>S 50 Sil @ Oct 11 / L 50 Sil @ Jan 12</t>
  </si>
  <si>
    <t>S 50 RMB @ Jan 12 / L 50 RMB @ May 12</t>
  </si>
  <si>
    <t>RMB (intra)</t>
  </si>
  <si>
    <t>S 50 Cop @ Dec 11 / L 50 Cop @ Dec 14</t>
  </si>
  <si>
    <t>last updated</t>
  </si>
  <si>
    <t>Cash on hand</t>
  </si>
  <si>
    <t>Net Cash Flow (excludes current margin)</t>
  </si>
  <si>
    <t>Current Total Margin</t>
  </si>
  <si>
    <t>S 4 EUR $ (Closed)</t>
  </si>
  <si>
    <t>L 2 S&amp;P 500 (closed)</t>
  </si>
  <si>
    <t>L 50 US T @ Dec 11 / S 50 US T @ June 12</t>
  </si>
  <si>
    <t>US T</t>
  </si>
  <si>
    <t>L 50 AUD @ Mar/ S 50 AUD @ Mar 13</t>
  </si>
  <si>
    <t>AUD (intra)</t>
  </si>
  <si>
    <t>L 50 T @ Mar 12/ S 50 US T @ Dec 12</t>
  </si>
  <si>
    <t>L 50 Cop @ Dec 11 / S 50 Cop @ Dec 14</t>
  </si>
  <si>
    <t>S 8 CL Light Sweet (WTI) (closed)</t>
  </si>
  <si>
    <t>L 50 Sil @ Dec 12 / S 50 Sil @ Jan 12</t>
  </si>
  <si>
    <t>Long(+1) Short(-1)</t>
    <phoneticPr fontId="13" type="noConversion"/>
  </si>
  <si>
    <t xml:space="preserve">Chiu,Michael                                      </t>
  </si>
  <si>
    <t>(Michael)</t>
  </si>
  <si>
    <t xml:space="preserve">Chu,Virginia Hiu Kwan                             </t>
  </si>
  <si>
    <t>(Virginia)</t>
  </si>
  <si>
    <t xml:space="preserve">Ding,Zhiping                                      </t>
  </si>
  <si>
    <t>(Vivien)</t>
  </si>
  <si>
    <t xml:space="preserve">Gill,Amandeep Singh                               </t>
  </si>
  <si>
    <t>(Aman)</t>
  </si>
  <si>
    <t xml:space="preserve"> L 54 WTI @ Dec 11/ S 50 WTI @ Dec 19</t>
    <phoneticPr fontId="13" type="noConversion"/>
  </si>
  <si>
    <t xml:space="preserve">Oct 17th </t>
    <phoneticPr fontId="13" type="noConversion"/>
  </si>
  <si>
    <t>CAD (intra)</t>
  </si>
  <si>
    <t>S 4 CAD (closed)</t>
  </si>
  <si>
    <t>L 4 AUD (closed)</t>
  </si>
  <si>
    <t>L 4 EUR (closed)</t>
  </si>
  <si>
    <t>S 4 AUD (closed)</t>
  </si>
  <si>
    <t>L 4 USD</t>
  </si>
  <si>
    <t>S 8 NG</t>
  </si>
  <si>
    <t>L 4 CAD $ (closed)</t>
  </si>
  <si>
    <t>L 50 EUR @ Mar 12/S 50 EUR @ Mar 13</t>
  </si>
  <si>
    <t>L 50 EUR @ Mar 12/ S 50 EUR @ Dec 13</t>
  </si>
  <si>
    <t>S 50 Cop @ Dec 11 / L 50 Cop @ Dec 15</t>
  </si>
  <si>
    <t>S 50 Cop @ Dec 11 / L 50 Cop @ Dec 14</t>
    <phoneticPr fontId="13" type="noConversion"/>
  </si>
  <si>
    <t>S 118 Uran @ Dec 11 / L 100 Uran @ Dec 15</t>
  </si>
  <si>
    <t>(Will)</t>
  </si>
  <si>
    <t xml:space="preserve">Thomasson,Geoffrey David                          </t>
  </si>
  <si>
    <t>(Geoff)</t>
  </si>
  <si>
    <t xml:space="preserve">Wang,Cong                                         </t>
  </si>
  <si>
    <t>(Raymond)</t>
  </si>
  <si>
    <t xml:space="preserve">Wicaksana,Tracy                                   </t>
  </si>
  <si>
    <t>(Tracy)</t>
  </si>
  <si>
    <t xml:space="preserve">Wong,Benton Yau Chi                               </t>
  </si>
  <si>
    <t>(Benton)</t>
  </si>
  <si>
    <t xml:space="preserve">Wong,Sherman Shek Lin                             </t>
  </si>
  <si>
    <t>(Sherman)</t>
  </si>
  <si>
    <t xml:space="preserve">Wu,Qiong                                          </t>
  </si>
  <si>
    <t>(Tina)</t>
  </si>
  <si>
    <t xml:space="preserve">Yip,Pui Yuen                                      </t>
  </si>
  <si>
    <t>(Pui Yuen)</t>
  </si>
  <si>
    <t xml:space="preserve">Yip,Tommy Wai Wa                                  </t>
  </si>
  <si>
    <t>(Tommy)</t>
  </si>
  <si>
    <t xml:space="preserve">Zhang,Yi Peng                                     </t>
  </si>
  <si>
    <t xml:space="preserve"> L 54 WTI @ Dec 11/ S 50 WTI @ Dec 19</t>
  </si>
  <si>
    <t xml:space="preserve"> L 54 WTI @ Dec 11/ S 50 WTI @ Dec 19</t>
    <phoneticPr fontId="13" type="noConversion"/>
  </si>
  <si>
    <t>S 51 Cop @ Dec 11/ L 50 Cop @ Dec 13</t>
    <phoneticPr fontId="13" type="noConversion"/>
  </si>
  <si>
    <t>S 53 Gold @ Dec 11 / L 50 Gold @ Dec 14</t>
    <phoneticPr fontId="13" type="noConversion"/>
  </si>
  <si>
    <t>S 50 WTI @ Dec 11 / L 54 WTI @ Dec 18</t>
    <phoneticPr fontId="13" type="noConversion"/>
  </si>
  <si>
    <t>L 54 Gold @ Dec 11 / S 50 Gold @ Dec 16</t>
    <phoneticPr fontId="13" type="noConversion"/>
  </si>
  <si>
    <t>(Name)</t>
  </si>
  <si>
    <t>Big Dow</t>
  </si>
  <si>
    <t>update</t>
  </si>
  <si>
    <t>Long(+1) Short(-1)</t>
  </si>
  <si>
    <t>Current/ Closing Price</t>
  </si>
  <si>
    <t>no record</t>
  </si>
  <si>
    <t>L 50 EUR @ Mar 12/ S 50 EUR @ Mar 13</t>
  </si>
  <si>
    <t>L 4 CAD (closed)</t>
  </si>
  <si>
    <t>L 2 CAD / S 2 EUR (closed)</t>
  </si>
  <si>
    <t>S 2 S&amp;P 500 (closed)</t>
  </si>
  <si>
    <t>L 8 NG (closed)</t>
  </si>
  <si>
    <t>missing</t>
  </si>
  <si>
    <t>S 8 CL Light Sweet (WTI)</t>
  </si>
  <si>
    <t>L 8 CL Light Sweet (WTI)</t>
  </si>
  <si>
    <t>Light Sweet Crude Oil (WTI)</t>
  </si>
  <si>
    <t>November 21, 2011</t>
  </si>
  <si>
    <t>S 53 WTI @ Dec 11/ L 50 WTI @ Dec 16</t>
  </si>
  <si>
    <t>Trade 4: Spread Trade in Options</t>
  </si>
  <si>
    <t>Net Cash</t>
    <phoneticPr fontId="13" type="noConversion"/>
  </si>
  <si>
    <t>Initial Price Calls (the near part)</t>
  </si>
  <si>
    <t>Initial Price Puts (the near part)</t>
  </si>
  <si>
    <t xml:space="preserve">L 25 S&amp;P 500 puts @ Dec 11 </t>
  </si>
  <si>
    <t xml:space="preserve"> L 10 WTI calls &amp; L 10 WTI puts @ Jan 12</t>
  </si>
  <si>
    <t xml:space="preserve"> L 10 WTI call &amp; L 10 WTI puts @ Jan 12</t>
  </si>
  <si>
    <t>L 25 S&amp;P 500 puts @ Dec 11</t>
  </si>
  <si>
    <t>L 8 CL Light Sweet (WTI) Closed</t>
  </si>
  <si>
    <t>S 2 BIG DOW Closed</t>
  </si>
  <si>
    <t>S 4 EUR Closed</t>
  </si>
  <si>
    <t>S 118 Uran @ Dec 11 / L 100 Uran @ Dec 15 Closed</t>
  </si>
  <si>
    <t xml:space="preserve"> L 54 WTI @ Dec 11/ S 50 WTI @ Dec 19 Closed</t>
  </si>
  <si>
    <t xml:space="preserve">S 118 Uran @ Dec 11 / L 100 Uran @ Dec 15 </t>
  </si>
  <si>
    <t>S 118 Uran @ Dec 11 / L 100 Uran @ Dec 15 Clsoed</t>
  </si>
  <si>
    <t xml:space="preserve"> L 54 WTI @ Dec 11/ S 50 WTI @ Dec 19 </t>
  </si>
  <si>
    <t>S 50 Cop @ Dec 11 / L 50 Cop @ Dec 14 Closed</t>
  </si>
  <si>
    <t>L 2 S&amp;P 500 Closed</t>
  </si>
  <si>
    <t>L 51 Gold @ Dec 11 / S 50 Gold @ Dec 13 Closed</t>
  </si>
  <si>
    <t>S 2 S&amp;P 500 Closed</t>
  </si>
  <si>
    <t>L 4 CAD Closed</t>
  </si>
  <si>
    <t>L 50 EUR @ Mar 12/ S 50 EUR @ Mar 13 Closed</t>
  </si>
  <si>
    <t>November 21,2011</t>
  </si>
  <si>
    <t>L 50 EUR @ Mar 12/ S 50 EUR @ Dec 12 Closed</t>
  </si>
  <si>
    <t xml:space="preserve">L 2 S&amp;P 500 </t>
  </si>
  <si>
    <t>L 8 NG Closed</t>
  </si>
  <si>
    <t>S 50 Sil @ Dec 11 / L 50 Sil @ Dec 12 Closed</t>
  </si>
  <si>
    <t>L 50 CAD @ Mar 12 / S 50 CAD @ June 12 Closed</t>
  </si>
  <si>
    <t>S 4 CAD Closed</t>
  </si>
  <si>
    <t>S 8 CL Light Sweet (WTI) Closed</t>
  </si>
  <si>
    <t>October 3,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</si>
</sst>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[$-409]#,##0"/>
    <numFmt numFmtId="166" formatCode="[$-409]General"/>
    <numFmt numFmtId="167" formatCode="[$$-409]#,##0.00;[Red]&quot;-&quot;[$$-409]#,##0.00"/>
    <numFmt numFmtId="168" formatCode="_-* #,##0_-;\-* #,##0_-;_-* &quot;-&quot;??_-;_-@_-"/>
    <numFmt numFmtId="169" formatCode="[$-1009]mmmm\ d\,\ yyyy;@"/>
    <numFmt numFmtId="170" formatCode="m/d"/>
    <numFmt numFmtId="171" formatCode="0.000"/>
    <numFmt numFmtId="172" formatCode="0.0000"/>
  </numFmts>
  <fonts count="18" x14ac:knownFonts="1">
    <font>
      <sz val="11"/>
      <color indexed="8"/>
      <name val="Arial"/>
      <family val="2"/>
    </font>
    <font>
      <sz val="10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u/>
      <sz val="10"/>
      <color indexed="8"/>
      <name val="Arial"/>
      <family val="2"/>
    </font>
    <font>
      <u/>
      <sz val="11"/>
      <color indexed="8"/>
      <name val="Arial"/>
      <family val="2"/>
    </font>
    <font>
      <b/>
      <u/>
      <sz val="10"/>
      <color indexed="10"/>
      <name val="Arial"/>
      <family val="2"/>
    </font>
    <font>
      <sz val="8"/>
      <name val="Verdana"/>
    </font>
    <font>
      <sz val="10"/>
      <color indexed="10"/>
      <name val="Arial"/>
    </font>
    <font>
      <b/>
      <sz val="10"/>
      <color indexed="10"/>
      <name val="Arial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1FB714"/>
        <bgColor rgb="FF1FB714"/>
      </patternFill>
    </fill>
    <fill>
      <patternFill patternType="solid">
        <fgColor rgb="FFCCCCFF"/>
        <bgColor rgb="FFCCCC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9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4">
    <xf numFmtId="0" fontId="0" fillId="0" borderId="0" xfId="0"/>
    <xf numFmtId="166" fontId="4" fillId="0" borderId="0" xfId="1" applyFont="1"/>
    <xf numFmtId="166" fontId="1" fillId="0" borderId="0" xfId="1"/>
    <xf numFmtId="166" fontId="1" fillId="0" borderId="0" xfId="1" applyBorder="1"/>
    <xf numFmtId="166" fontId="5" fillId="0" borderId="2" xfId="1" applyFont="1" applyBorder="1" applyAlignment="1">
      <alignment horizontal="center"/>
    </xf>
    <xf numFmtId="166" fontId="4" fillId="0" borderId="2" xfId="1" applyFont="1" applyBorder="1" applyAlignment="1">
      <alignment horizontal="center"/>
    </xf>
    <xf numFmtId="165" fontId="1" fillId="0" borderId="0" xfId="1" applyNumberFormat="1"/>
    <xf numFmtId="166" fontId="1" fillId="0" borderId="0" xfId="1" applyFill="1" applyBorder="1"/>
    <xf numFmtId="166" fontId="1" fillId="0" borderId="0" xfId="1" applyFont="1" applyBorder="1"/>
    <xf numFmtId="166" fontId="1" fillId="0" borderId="0" xfId="1" applyFont="1" applyFill="1" applyBorder="1"/>
    <xf numFmtId="166" fontId="5" fillId="2" borderId="1" xfId="1" applyFont="1" applyFill="1" applyBorder="1" applyAlignment="1">
      <alignment horizontal="center"/>
    </xf>
    <xf numFmtId="0" fontId="9" fillId="0" borderId="0" xfId="0" applyFont="1"/>
    <xf numFmtId="17" fontId="9" fillId="0" borderId="0" xfId="0" applyNumberFormat="1" applyFont="1"/>
    <xf numFmtId="0" fontId="9" fillId="0" borderId="0" xfId="0" applyNumberFormat="1" applyFont="1"/>
    <xf numFmtId="15" fontId="9" fillId="0" borderId="0" xfId="0" applyNumberFormat="1" applyFont="1"/>
    <xf numFmtId="166" fontId="9" fillId="0" borderId="0" xfId="1" applyFont="1"/>
    <xf numFmtId="168" fontId="1" fillId="0" borderId="0" xfId="6" applyNumberFormat="1" applyFont="1"/>
    <xf numFmtId="166" fontId="5" fillId="2" borderId="3" xfId="1" applyFont="1" applyFill="1" applyBorder="1" applyAlignment="1">
      <alignment horizontal="center"/>
    </xf>
    <xf numFmtId="169" fontId="1" fillId="0" borderId="0" xfId="1" applyNumberFormat="1"/>
    <xf numFmtId="169" fontId="5" fillId="2" borderId="3" xfId="1" applyNumberFormat="1" applyFont="1" applyFill="1" applyBorder="1" applyAlignment="1">
      <alignment horizontal="center"/>
    </xf>
    <xf numFmtId="169" fontId="5" fillId="0" borderId="2" xfId="1" applyNumberFormat="1" applyFont="1" applyBorder="1" applyAlignment="1">
      <alignment horizontal="center"/>
    </xf>
    <xf numFmtId="166" fontId="12" fillId="0" borderId="2" xfId="1" applyFont="1" applyBorder="1" applyAlignment="1">
      <alignment horizontal="center"/>
    </xf>
    <xf numFmtId="166" fontId="1" fillId="5" borderId="0" xfId="1" applyFont="1" applyFill="1" applyBorder="1"/>
    <xf numFmtId="168" fontId="1" fillId="0" borderId="0" xfId="6" applyNumberFormat="1" applyFont="1" applyBorder="1"/>
    <xf numFmtId="165" fontId="1" fillId="0" borderId="0" xfId="1" applyNumberFormat="1" applyBorder="1"/>
    <xf numFmtId="0" fontId="0" fillId="0" borderId="0" xfId="0" applyBorder="1"/>
    <xf numFmtId="165" fontId="1" fillId="0" borderId="0" xfId="1" applyNumberFormat="1" applyFont="1" applyBorder="1"/>
    <xf numFmtId="166" fontId="4" fillId="0" borderId="2" xfId="1" applyFont="1" applyBorder="1" applyAlignment="1">
      <alignment wrapText="1"/>
    </xf>
    <xf numFmtId="166" fontId="1" fillId="0" borderId="2" xfId="1" applyBorder="1"/>
    <xf numFmtId="169" fontId="1" fillId="5" borderId="0" xfId="1" applyNumberFormat="1" applyFont="1" applyFill="1" applyBorder="1"/>
    <xf numFmtId="166" fontId="5" fillId="2" borderId="3" xfId="1" applyFont="1" applyFill="1" applyBorder="1" applyAlignment="1">
      <alignment horizontal="right"/>
    </xf>
    <xf numFmtId="166" fontId="5" fillId="0" borderId="2" xfId="1" applyFont="1" applyBorder="1" applyAlignment="1">
      <alignment horizontal="right"/>
    </xf>
    <xf numFmtId="166" fontId="1" fillId="0" borderId="0" xfId="1" applyAlignment="1">
      <alignment horizontal="right"/>
    </xf>
    <xf numFmtId="166" fontId="1" fillId="5" borderId="0" xfId="1" applyFont="1" applyFill="1" applyBorder="1" applyAlignment="1">
      <alignment horizontal="right"/>
    </xf>
    <xf numFmtId="166" fontId="5" fillId="2" borderId="3" xfId="1" applyFont="1" applyFill="1" applyBorder="1" applyAlignment="1">
      <alignment horizontal="left"/>
    </xf>
    <xf numFmtId="166" fontId="1" fillId="6" borderId="0" xfId="1" applyFont="1" applyFill="1" applyBorder="1"/>
    <xf numFmtId="0" fontId="1" fillId="5" borderId="0" xfId="1" applyNumberFormat="1" applyFont="1" applyFill="1" applyBorder="1"/>
    <xf numFmtId="169" fontId="1" fillId="5" borderId="0" xfId="1" applyNumberFormat="1" applyFont="1" applyFill="1" applyBorder="1" applyAlignment="1">
      <alignment horizontal="right"/>
    </xf>
    <xf numFmtId="0" fontId="1" fillId="5" borderId="0" xfId="0" applyFont="1" applyFill="1" applyBorder="1"/>
    <xf numFmtId="0" fontId="1" fillId="6" borderId="0" xfId="0" applyFont="1" applyFill="1" applyBorder="1"/>
    <xf numFmtId="0" fontId="1" fillId="5" borderId="0" xfId="0" applyFont="1" applyFill="1" applyBorder="1" applyAlignment="1">
      <alignment horizontal="right"/>
    </xf>
    <xf numFmtId="166" fontId="5" fillId="3" borderId="4" xfId="1" applyFont="1" applyFill="1" applyBorder="1" applyAlignment="1">
      <alignment horizontal="center"/>
    </xf>
    <xf numFmtId="166" fontId="5" fillId="3" borderId="3" xfId="1" applyFont="1" applyFill="1" applyBorder="1" applyAlignment="1">
      <alignment horizontal="center"/>
    </xf>
    <xf numFmtId="166" fontId="5" fillId="3" borderId="1" xfId="1" applyFont="1" applyFill="1" applyBorder="1" applyAlignment="1">
      <alignment horizontal="center"/>
    </xf>
    <xf numFmtId="166" fontId="1" fillId="7" borderId="0" xfId="1" applyFont="1" applyFill="1" applyBorder="1"/>
    <xf numFmtId="0" fontId="11" fillId="0" borderId="0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66" fontId="10" fillId="0" borderId="8" xfId="1" applyFont="1" applyBorder="1" applyAlignment="1">
      <alignment wrapText="1"/>
    </xf>
    <xf numFmtId="166" fontId="10" fillId="7" borderId="8" xfId="1" applyFont="1" applyFill="1" applyBorder="1" applyAlignment="1">
      <alignment horizontal="center" wrapText="1"/>
    </xf>
    <xf numFmtId="168" fontId="10" fillId="7" borderId="8" xfId="6" applyNumberFormat="1" applyFont="1" applyFill="1" applyBorder="1" applyAlignment="1">
      <alignment horizontal="center" wrapText="1"/>
    </xf>
    <xf numFmtId="166" fontId="5" fillId="0" borderId="8" xfId="1" applyFont="1" applyFill="1" applyBorder="1" applyAlignment="1">
      <alignment horizontal="center" wrapText="1"/>
    </xf>
    <xf numFmtId="166" fontId="5" fillId="5" borderId="8" xfId="1" applyFont="1" applyFill="1" applyBorder="1" applyAlignment="1">
      <alignment horizontal="center" wrapText="1"/>
    </xf>
    <xf numFmtId="169" fontId="5" fillId="5" borderId="8" xfId="1" applyNumberFormat="1" applyFont="1" applyFill="1" applyBorder="1" applyAlignment="1">
      <alignment horizontal="center" wrapText="1"/>
    </xf>
    <xf numFmtId="166" fontId="5" fillId="6" borderId="8" xfId="1" applyFont="1" applyFill="1" applyBorder="1" applyAlignment="1">
      <alignment horizontal="center" wrapText="1"/>
    </xf>
    <xf numFmtId="166" fontId="5" fillId="0" borderId="8" xfId="1" applyFont="1" applyBorder="1" applyAlignment="1">
      <alignment horizontal="center" wrapText="1"/>
    </xf>
    <xf numFmtId="166" fontId="10" fillId="0" borderId="8" xfId="1" applyFont="1" applyBorder="1" applyAlignment="1">
      <alignment horizontal="center" wrapText="1"/>
    </xf>
    <xf numFmtId="168" fontId="4" fillId="0" borderId="0" xfId="6" applyNumberFormat="1" applyFont="1"/>
    <xf numFmtId="168" fontId="4" fillId="0" borderId="0" xfId="6" applyNumberFormat="1" applyFont="1" applyBorder="1"/>
    <xf numFmtId="168" fontId="5" fillId="0" borderId="8" xfId="6" applyNumberFormat="1" applyFont="1" applyBorder="1" applyAlignment="1">
      <alignment wrapText="1"/>
    </xf>
    <xf numFmtId="16" fontId="9" fillId="0" borderId="0" xfId="0" applyNumberFormat="1" applyFont="1"/>
    <xf numFmtId="166" fontId="1" fillId="5" borderId="0" xfId="1" applyNumberFormat="1" applyFont="1" applyFill="1" applyBorder="1"/>
    <xf numFmtId="0" fontId="0" fillId="0" borderId="0" xfId="0" applyFill="1" applyBorder="1"/>
    <xf numFmtId="166" fontId="1" fillId="8" borderId="0" xfId="1" applyFont="1" applyFill="1" applyBorder="1"/>
    <xf numFmtId="165" fontId="1" fillId="8" borderId="0" xfId="1" applyNumberFormat="1" applyFont="1" applyFill="1" applyBorder="1"/>
    <xf numFmtId="15" fontId="1" fillId="5" borderId="0" xfId="1" applyNumberFormat="1" applyFont="1" applyFill="1" applyBorder="1" applyAlignment="1">
      <alignment horizontal="right"/>
    </xf>
    <xf numFmtId="0" fontId="1" fillId="5" borderId="0" xfId="1" applyNumberFormat="1" applyFont="1" applyFill="1" applyBorder="1"/>
    <xf numFmtId="0" fontId="15" fillId="5" borderId="0" xfId="0" applyFont="1" applyFill="1" applyBorder="1"/>
    <xf numFmtId="0" fontId="15" fillId="6" borderId="0" xfId="0" applyFont="1" applyFill="1" applyBorder="1"/>
    <xf numFmtId="0" fontId="15" fillId="9" borderId="0" xfId="0" applyFont="1" applyFill="1"/>
    <xf numFmtId="0" fontId="15" fillId="10" borderId="0" xfId="0" applyFont="1" applyFill="1"/>
    <xf numFmtId="170" fontId="1" fillId="5" borderId="0" xfId="1" applyNumberFormat="1" applyFont="1" applyFill="1" applyBorder="1"/>
    <xf numFmtId="170" fontId="14" fillId="5" borderId="0" xfId="1" applyNumberFormat="1" applyFont="1" applyFill="1" applyBorder="1"/>
    <xf numFmtId="0" fontId="14" fillId="5" borderId="0" xfId="0" applyFont="1" applyFill="1" applyBorder="1"/>
    <xf numFmtId="0" fontId="14" fillId="6" borderId="0" xfId="0" applyFont="1" applyFill="1" applyBorder="1"/>
    <xf numFmtId="166" fontId="14" fillId="5" borderId="0" xfId="1" applyFont="1" applyFill="1" applyBorder="1"/>
    <xf numFmtId="166" fontId="14" fillId="6" borderId="0" xfId="1" applyFont="1" applyFill="1" applyBorder="1"/>
    <xf numFmtId="0" fontId="14" fillId="9" borderId="0" xfId="0" applyFont="1" applyFill="1"/>
    <xf numFmtId="166" fontId="14" fillId="10" borderId="0" xfId="0" applyNumberFormat="1" applyFont="1" applyFill="1"/>
    <xf numFmtId="166" fontId="14" fillId="9" borderId="0" xfId="0" applyNumberFormat="1" applyFont="1" applyFill="1"/>
    <xf numFmtId="0" fontId="14" fillId="10" borderId="0" xfId="0" applyFont="1" applyFill="1"/>
    <xf numFmtId="14" fontId="0" fillId="0" borderId="0" xfId="0" applyNumberFormat="1" applyBorder="1"/>
    <xf numFmtId="0" fontId="0" fillId="11" borderId="0" xfId="0" applyFill="1"/>
    <xf numFmtId="16" fontId="0" fillId="0" borderId="0" xfId="0" applyNumberFormat="1" applyBorder="1"/>
    <xf numFmtId="0" fontId="0" fillId="0" borderId="0" xfId="0" applyNumberFormat="1" applyBorder="1"/>
    <xf numFmtId="166" fontId="1" fillId="11" borderId="0" xfId="1" applyFont="1" applyFill="1" applyBorder="1"/>
    <xf numFmtId="166" fontId="1" fillId="11" borderId="0" xfId="1" applyFill="1" applyBorder="1"/>
    <xf numFmtId="166" fontId="1" fillId="12" borderId="0" xfId="1" applyFill="1" applyBorder="1"/>
    <xf numFmtId="0" fontId="0" fillId="12" borderId="0" xfId="0" applyFill="1"/>
    <xf numFmtId="0" fontId="0" fillId="11" borderId="0" xfId="0" applyFill="1" applyBorder="1"/>
    <xf numFmtId="166" fontId="1" fillId="12" borderId="0" xfId="1" applyFont="1" applyFill="1" applyBorder="1"/>
    <xf numFmtId="3" fontId="1" fillId="6" borderId="0" xfId="0" applyNumberFormat="1" applyFont="1" applyFill="1" applyBorder="1"/>
    <xf numFmtId="14" fontId="0" fillId="0" borderId="0" xfId="0" applyNumberFormat="1" applyFill="1" applyBorder="1"/>
    <xf numFmtId="168" fontId="4" fillId="0" borderId="0" xfId="6" applyNumberFormat="1" applyFont="1" applyFill="1" applyBorder="1"/>
    <xf numFmtId="169" fontId="1" fillId="0" borderId="0" xfId="1" applyNumberFormat="1" applyFont="1" applyFill="1" applyBorder="1"/>
    <xf numFmtId="166" fontId="1" fillId="0" borderId="0" xfId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1" applyNumberFormat="1" applyFont="1" applyFill="1" applyBorder="1"/>
    <xf numFmtId="0" fontId="1" fillId="0" borderId="0" xfId="0" applyFont="1" applyFill="1" applyBorder="1" applyAlignment="1">
      <alignment horizontal="right"/>
    </xf>
    <xf numFmtId="172" fontId="1" fillId="0" borderId="0" xfId="0" applyNumberFormat="1" applyFont="1" applyFill="1" applyBorder="1"/>
    <xf numFmtId="170" fontId="1" fillId="0" borderId="0" xfId="1" applyNumberFormat="1" applyFont="1" applyFill="1" applyBorder="1"/>
    <xf numFmtId="171" fontId="1" fillId="0" borderId="0" xfId="0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ill="1" applyBorder="1"/>
    <xf numFmtId="0" fontId="0" fillId="0" borderId="0" xfId="0" applyNumberFormat="1" applyFill="1" applyBorder="1"/>
    <xf numFmtId="166" fontId="1" fillId="0" borderId="0" xfId="1" applyNumberFormat="1" applyFont="1" applyFill="1" applyBorder="1"/>
    <xf numFmtId="0" fontId="15" fillId="0" borderId="0" xfId="0" applyFont="1" applyFill="1" applyBorder="1"/>
    <xf numFmtId="170" fontId="14" fillId="0" borderId="0" xfId="1" applyNumberFormat="1" applyFont="1" applyFill="1" applyBorder="1"/>
    <xf numFmtId="0" fontId="14" fillId="0" borderId="0" xfId="0" applyFont="1" applyFill="1" applyBorder="1"/>
    <xf numFmtId="166" fontId="14" fillId="0" borderId="0" xfId="1" applyFont="1" applyFill="1" applyBorder="1"/>
    <xf numFmtId="0" fontId="0" fillId="0" borderId="0" xfId="0" applyFill="1"/>
    <xf numFmtId="169" fontId="1" fillId="0" borderId="0" xfId="1" applyNumberFormat="1" applyFont="1" applyFill="1" applyBorder="1" applyAlignment="1">
      <alignment horizontal="right"/>
    </xf>
    <xf numFmtId="166" fontId="5" fillId="4" borderId="5" xfId="1" applyFont="1" applyFill="1" applyBorder="1" applyAlignment="1">
      <alignment horizontal="center"/>
    </xf>
    <xf numFmtId="166" fontId="5" fillId="4" borderId="6" xfId="1" applyFont="1" applyFill="1" applyBorder="1" applyAlignment="1">
      <alignment horizontal="center"/>
    </xf>
    <xf numFmtId="166" fontId="5" fillId="4" borderId="7" xfId="1" applyFont="1" applyFill="1" applyBorder="1" applyAlignment="1">
      <alignment horizontal="center"/>
    </xf>
  </cellXfs>
  <cellStyles count="39">
    <cellStyle name="Comma" xfId="6" builtinId="3"/>
    <cellStyle name="Excel Built-in Normal" xfId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eading" xfId="2"/>
    <cellStyle name="Heading1" xfId="3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0"/>
  <sheetViews>
    <sheetView tabSelected="1" zoomScaleNormal="100" zoomScalePageLayoutView="150" workbookViewId="0">
      <pane xSplit="6" ySplit="3" topLeftCell="BZ22" activePane="bottomRight" state="frozen"/>
      <selection pane="topRight" activeCell="G1" sqref="G1"/>
      <selection pane="bottomLeft" activeCell="A4" sqref="A4"/>
      <selection pane="bottomRight" activeCell="CQ21" sqref="CQ21"/>
    </sheetView>
  </sheetViews>
  <sheetFormatPr defaultColWidth="8.75" defaultRowHeight="14.25" outlineLevelCol="2" x14ac:dyDescent="0.2"/>
  <cols>
    <col min="1" max="1" width="8.375" customWidth="1"/>
    <col min="2" max="2" width="19.875" style="2" customWidth="1"/>
    <col min="3" max="3" width="12.75" style="2" customWidth="1"/>
    <col min="4" max="4" width="12.75" style="56" customWidth="1"/>
    <col min="5" max="5" width="12.75" style="2" customWidth="1"/>
    <col min="6" max="6" width="11.375" style="16" customWidth="1"/>
    <col min="7" max="7" width="15.75" style="2" customWidth="1"/>
    <col min="8" max="9" width="16" style="2" customWidth="1" outlineLevel="1"/>
    <col min="10" max="10" width="20.375" style="2" customWidth="1" outlineLevel="1"/>
    <col min="11" max="11" width="13.25" style="2" customWidth="1" outlineLevel="1"/>
    <col min="12" max="12" width="13.125" style="18" customWidth="1" outlineLevel="1"/>
    <col min="13" max="13" width="10.625" style="2" customWidth="1" outlineLevel="1"/>
    <col min="14" max="14" width="11.25" style="2" customWidth="1" outlineLevel="1"/>
    <col min="15" max="15" width="20" style="2" bestFit="1" customWidth="1"/>
    <col min="16" max="19" width="16" style="2" customWidth="1" outlineLevel="1"/>
    <col min="20" max="20" width="16" style="32" customWidth="1" outlineLevel="1"/>
    <col min="21" max="21" width="11.75" style="2" customWidth="1" outlineLevel="1"/>
    <col min="22" max="22" width="9.125" style="2" customWidth="1" outlineLevel="1"/>
    <col min="23" max="23" width="25.125" style="2" customWidth="1"/>
    <col min="24" max="27" width="16" style="2" customWidth="1" outlineLevel="1"/>
    <col min="28" max="29" width="16" style="32" customWidth="1" outlineLevel="1"/>
    <col min="30" max="30" width="12.625" style="2" customWidth="1" outlineLevel="1"/>
    <col min="31" max="31" width="32.125" style="2" bestFit="1" customWidth="1"/>
    <col min="32" max="33" width="14.875" style="2" customWidth="1" outlineLevel="1"/>
    <col min="34" max="34" width="8.75" style="2" outlineLevel="1"/>
    <col min="35" max="36" width="14.875" style="2" customWidth="1" outlineLevel="1"/>
    <col min="37" max="39" width="14.625" style="2" customWidth="1" outlineLevel="1"/>
    <col min="40" max="40" width="14.125" style="2" customWidth="1" outlineLevel="1"/>
    <col min="41" max="41" width="35.375" style="2" customWidth="1"/>
    <col min="42" max="42" width="8.25" style="2" customWidth="1" outlineLevel="1"/>
    <col min="43" max="45" width="11.875" style="2" customWidth="1" outlineLevel="1"/>
    <col min="46" max="46" width="12.625" style="2" customWidth="1" outlineLevel="1"/>
    <col min="47" max="48" width="14.625" style="2" customWidth="1" outlineLevel="1"/>
    <col min="49" max="49" width="15.25" style="2" customWidth="1" outlineLevel="1"/>
    <col min="50" max="50" width="11.875" style="2" customWidth="1" outlineLevel="2"/>
    <col min="51" max="51" width="33.25" customWidth="1"/>
    <col min="52" max="52" width="8.75" customWidth="1"/>
    <col min="54" max="54" width="9.375" customWidth="1"/>
    <col min="56" max="56" width="15" bestFit="1" customWidth="1"/>
    <col min="57" max="57" width="10.375" customWidth="1"/>
    <col min="58" max="58" width="12.125" customWidth="1"/>
    <col min="59" max="59" width="9.375" customWidth="1"/>
    <col min="60" max="60" width="10.625" customWidth="1"/>
    <col min="61" max="61" width="35.625" bestFit="1" customWidth="1"/>
    <col min="62" max="62" width="11.125" customWidth="1"/>
    <col min="71" max="71" width="21.875" customWidth="1"/>
    <col min="79" max="79" width="35.625" bestFit="1" customWidth="1"/>
  </cols>
  <sheetData>
    <row r="1" spans="1:87" ht="24.75" customHeight="1" x14ac:dyDescent="0.2">
      <c r="B1" s="1" t="s">
        <v>78</v>
      </c>
      <c r="G1" s="34" t="s">
        <v>79</v>
      </c>
      <c r="H1" s="17"/>
      <c r="I1" s="17"/>
      <c r="J1" s="17"/>
      <c r="K1" s="17"/>
      <c r="L1" s="19"/>
      <c r="M1" s="17"/>
      <c r="N1" s="17"/>
      <c r="O1" s="17"/>
      <c r="P1" s="17"/>
      <c r="Q1" s="17"/>
      <c r="R1" s="17"/>
      <c r="S1" s="17"/>
      <c r="T1" s="30"/>
      <c r="U1" s="17"/>
      <c r="V1" s="17"/>
      <c r="W1" s="17"/>
      <c r="X1" s="17"/>
      <c r="Y1" s="17"/>
      <c r="Z1" s="17"/>
      <c r="AA1" s="17"/>
      <c r="AB1" s="30"/>
      <c r="AC1" s="30"/>
      <c r="AD1" s="10"/>
      <c r="AE1" s="41" t="s">
        <v>80</v>
      </c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3"/>
      <c r="AY1" s="111" t="s">
        <v>81</v>
      </c>
      <c r="AZ1" s="112"/>
      <c r="BA1" s="112"/>
      <c r="BB1" s="112"/>
      <c r="BC1" s="112"/>
      <c r="BD1" s="112"/>
      <c r="BE1" s="112"/>
      <c r="BF1" s="113"/>
      <c r="BG1" s="25"/>
      <c r="BH1" s="25"/>
      <c r="BS1" s="81" t="s">
        <v>182</v>
      </c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</row>
    <row r="2" spans="1:87" s="25" customFormat="1" ht="12" customHeight="1" x14ac:dyDescent="0.2">
      <c r="B2" s="3"/>
      <c r="C2" s="3"/>
      <c r="D2" s="57"/>
      <c r="E2" s="3"/>
      <c r="F2" s="23"/>
      <c r="G2" s="4"/>
      <c r="H2" s="4"/>
      <c r="I2" s="4"/>
      <c r="J2" s="4"/>
      <c r="K2" s="4"/>
      <c r="L2" s="20"/>
      <c r="M2" s="4"/>
      <c r="N2" s="21" t="s">
        <v>167</v>
      </c>
      <c r="O2" s="4"/>
      <c r="P2" s="4"/>
      <c r="Q2" s="4"/>
      <c r="R2" s="4"/>
      <c r="S2" s="4"/>
      <c r="T2" s="31"/>
      <c r="U2" s="4"/>
      <c r="V2" s="21" t="s">
        <v>167</v>
      </c>
      <c r="W2" s="4"/>
      <c r="X2" s="4"/>
      <c r="Y2" s="4"/>
      <c r="Z2" s="4"/>
      <c r="AA2" s="4"/>
      <c r="AB2" s="31"/>
      <c r="AC2" s="31"/>
      <c r="AD2" s="21" t="s">
        <v>167</v>
      </c>
      <c r="AE2" s="4"/>
      <c r="AF2" s="4"/>
      <c r="AG2" s="4"/>
      <c r="AH2" s="5"/>
      <c r="AI2" s="5"/>
      <c r="AJ2" s="4"/>
      <c r="AK2" s="4"/>
      <c r="AL2" s="21" t="s">
        <v>167</v>
      </c>
      <c r="AM2" s="4"/>
      <c r="AN2" s="21" t="s">
        <v>167</v>
      </c>
      <c r="AO2" s="5" t="s">
        <v>82</v>
      </c>
      <c r="AP2" s="4"/>
      <c r="AQ2" s="5"/>
      <c r="AR2" s="5"/>
      <c r="AS2" s="27"/>
      <c r="AT2" s="28"/>
      <c r="AU2" s="4"/>
      <c r="AV2" s="21" t="s">
        <v>167</v>
      </c>
      <c r="AW2" s="4"/>
      <c r="AX2" s="21" t="s">
        <v>167</v>
      </c>
      <c r="BG2" s="55"/>
      <c r="BH2" s="54"/>
    </row>
    <row r="3" spans="1:87" s="45" customFormat="1" ht="37.5" customHeight="1" x14ac:dyDescent="0.2">
      <c r="A3" s="46" t="s">
        <v>103</v>
      </c>
      <c r="B3" s="47" t="s">
        <v>62</v>
      </c>
      <c r="C3" s="47" t="s">
        <v>165</v>
      </c>
      <c r="D3" s="58" t="s">
        <v>104</v>
      </c>
      <c r="E3" s="48" t="s">
        <v>106</v>
      </c>
      <c r="F3" s="49" t="s">
        <v>105</v>
      </c>
      <c r="G3" s="50" t="s">
        <v>83</v>
      </c>
      <c r="H3" s="51" t="s">
        <v>52</v>
      </c>
      <c r="I3" s="51" t="s">
        <v>36</v>
      </c>
      <c r="J3" s="51" t="s">
        <v>168</v>
      </c>
      <c r="K3" s="51" t="s">
        <v>60</v>
      </c>
      <c r="L3" s="52" t="s">
        <v>59</v>
      </c>
      <c r="M3" s="51" t="s">
        <v>61</v>
      </c>
      <c r="N3" s="53" t="s">
        <v>169</v>
      </c>
      <c r="O3" s="50" t="s">
        <v>84</v>
      </c>
      <c r="P3" s="51" t="s">
        <v>52</v>
      </c>
      <c r="Q3" s="51" t="s">
        <v>36</v>
      </c>
      <c r="R3" s="51" t="s">
        <v>168</v>
      </c>
      <c r="S3" s="51" t="s">
        <v>60</v>
      </c>
      <c r="T3" s="51" t="s">
        <v>59</v>
      </c>
      <c r="U3" s="51" t="s">
        <v>61</v>
      </c>
      <c r="V3" s="53" t="s">
        <v>169</v>
      </c>
      <c r="W3" s="50" t="s">
        <v>85</v>
      </c>
      <c r="X3" s="51" t="s">
        <v>52</v>
      </c>
      <c r="Y3" s="51" t="s">
        <v>36</v>
      </c>
      <c r="Z3" s="51" t="s">
        <v>168</v>
      </c>
      <c r="AA3" s="51" t="s">
        <v>60</v>
      </c>
      <c r="AB3" s="51" t="s">
        <v>59</v>
      </c>
      <c r="AC3" s="51" t="s">
        <v>61</v>
      </c>
      <c r="AD3" s="53" t="s">
        <v>169</v>
      </c>
      <c r="AE3" s="54" t="s">
        <v>74</v>
      </c>
      <c r="AF3" s="51" t="s">
        <v>52</v>
      </c>
      <c r="AG3" s="51" t="s">
        <v>36</v>
      </c>
      <c r="AH3" s="51" t="s">
        <v>168</v>
      </c>
      <c r="AI3" s="51" t="s">
        <v>60</v>
      </c>
      <c r="AJ3" s="51" t="s">
        <v>59</v>
      </c>
      <c r="AK3" s="51" t="s">
        <v>75</v>
      </c>
      <c r="AL3" s="53" t="s">
        <v>169</v>
      </c>
      <c r="AM3" s="51" t="s">
        <v>76</v>
      </c>
      <c r="AN3" s="53" t="s">
        <v>169</v>
      </c>
      <c r="AO3" s="54" t="s">
        <v>73</v>
      </c>
      <c r="AP3" s="51" t="s">
        <v>52</v>
      </c>
      <c r="AQ3" s="51" t="s">
        <v>36</v>
      </c>
      <c r="AR3" s="51" t="s">
        <v>168</v>
      </c>
      <c r="AS3" s="51" t="s">
        <v>60</v>
      </c>
      <c r="AT3" s="51" t="s">
        <v>59</v>
      </c>
      <c r="AU3" s="51" t="s">
        <v>75</v>
      </c>
      <c r="AV3" s="53" t="s">
        <v>169</v>
      </c>
      <c r="AW3" s="51" t="s">
        <v>76</v>
      </c>
      <c r="AX3" s="53" t="s">
        <v>169</v>
      </c>
      <c r="AY3" s="54"/>
      <c r="AZ3" s="51" t="s">
        <v>52</v>
      </c>
      <c r="BA3" s="51" t="s">
        <v>66</v>
      </c>
      <c r="BB3" s="51" t="s">
        <v>117</v>
      </c>
      <c r="BC3" s="51" t="s">
        <v>60</v>
      </c>
      <c r="BD3" s="51" t="s">
        <v>59</v>
      </c>
      <c r="BE3" s="51" t="s">
        <v>75</v>
      </c>
      <c r="BF3" s="53" t="s">
        <v>169</v>
      </c>
      <c r="BG3" s="51" t="s">
        <v>76</v>
      </c>
      <c r="BH3" s="53" t="s">
        <v>169</v>
      </c>
      <c r="BJ3" s="51" t="s">
        <v>52</v>
      </c>
      <c r="BK3" s="51" t="s">
        <v>36</v>
      </c>
      <c r="BL3" s="51" t="s">
        <v>168</v>
      </c>
      <c r="BM3" s="51" t="s">
        <v>60</v>
      </c>
      <c r="BN3" s="51" t="s">
        <v>59</v>
      </c>
      <c r="BO3" s="51" t="s">
        <v>75</v>
      </c>
      <c r="BP3" s="53" t="s">
        <v>169</v>
      </c>
      <c r="BQ3" s="51" t="s">
        <v>76</v>
      </c>
      <c r="BR3" s="53" t="s">
        <v>169</v>
      </c>
      <c r="BS3" s="54"/>
      <c r="BT3" s="51" t="s">
        <v>52</v>
      </c>
      <c r="BU3" s="51" t="s">
        <v>183</v>
      </c>
      <c r="BV3" s="51" t="s">
        <v>117</v>
      </c>
      <c r="BW3" s="51" t="s">
        <v>60</v>
      </c>
      <c r="BX3" s="51" t="s">
        <v>59</v>
      </c>
      <c r="BY3" s="51" t="s">
        <v>75</v>
      </c>
      <c r="BZ3" s="53" t="s">
        <v>169</v>
      </c>
      <c r="CB3" s="51" t="s">
        <v>52</v>
      </c>
      <c r="CC3" s="51" t="s">
        <v>36</v>
      </c>
      <c r="CD3" s="51" t="s">
        <v>168</v>
      </c>
      <c r="CE3" s="51" t="s">
        <v>60</v>
      </c>
      <c r="CF3" s="51" t="s">
        <v>59</v>
      </c>
      <c r="CG3" s="51" t="s">
        <v>184</v>
      </c>
      <c r="CH3" s="51" t="s">
        <v>185</v>
      </c>
      <c r="CI3" s="53" t="s">
        <v>169</v>
      </c>
    </row>
    <row r="4" spans="1:87" s="25" customFormat="1" x14ac:dyDescent="0.2">
      <c r="A4" s="80">
        <v>40868</v>
      </c>
      <c r="B4" s="62" t="s">
        <v>86</v>
      </c>
      <c r="C4" s="62" t="s">
        <v>87</v>
      </c>
      <c r="D4" s="57">
        <f t="shared" ref="D4:D37" si="0">1000000-E4+F4</f>
        <v>1155549.9999999991</v>
      </c>
      <c r="E4" s="44">
        <f>H4+P4+X4+AF4+AP4+AZ4+BJ4+BT4+CB4</f>
        <v>165450</v>
      </c>
      <c r="F4" s="44">
        <f>I4+Q4+Y4+AG4+AQ4+BA4+BK4+BU4+CC4</f>
        <v>320999.99999999907</v>
      </c>
      <c r="G4" s="9" t="s">
        <v>88</v>
      </c>
      <c r="H4" s="22">
        <f>4*1800*IF(ISBLANK(L4),1,0)</f>
        <v>7200</v>
      </c>
      <c r="I4" s="22">
        <f t="shared" ref="I4:I19" si="1">4*(-50+J4*K4*(N4-M4))</f>
        <v>-22239.999999999971</v>
      </c>
      <c r="J4" s="22">
        <v>1</v>
      </c>
      <c r="K4" s="22">
        <v>100000</v>
      </c>
      <c r="L4" s="29"/>
      <c r="M4" s="22">
        <v>1.0043</v>
      </c>
      <c r="N4" s="35">
        <v>0.94920000000000004</v>
      </c>
      <c r="O4" s="9" t="s">
        <v>89</v>
      </c>
      <c r="P4" s="22">
        <f t="shared" ref="P4:P37" si="2">2*20000*IF(ISBLANK(T4),1,0)</f>
        <v>40000</v>
      </c>
      <c r="Q4" s="22">
        <f t="shared" ref="Q4:Q37" si="3">2*(-50+R4*S4*(V4-U4))*IF(O4="N/A",0,1)</f>
        <v>55950.000000000065</v>
      </c>
      <c r="R4" s="22">
        <v>-1</v>
      </c>
      <c r="S4" s="22">
        <v>250</v>
      </c>
      <c r="T4" s="33"/>
      <c r="U4" s="38">
        <v>1191.9000000000001</v>
      </c>
      <c r="V4" s="39">
        <v>1079.8</v>
      </c>
      <c r="W4" s="9" t="s">
        <v>90</v>
      </c>
      <c r="X4" s="22">
        <f>8*4000</f>
        <v>32000</v>
      </c>
      <c r="Y4" s="36">
        <f t="shared" ref="Y4:Y13" si="4">8*(-50+AA4*(AD4-AC4))*IF(W4="N/A",0,1)</f>
        <v>26479.999999999996</v>
      </c>
      <c r="Z4" s="22">
        <v>1</v>
      </c>
      <c r="AA4" s="22">
        <v>500</v>
      </c>
      <c r="AB4" s="33"/>
      <c r="AC4" s="40">
        <v>48.61</v>
      </c>
      <c r="AD4" s="39">
        <v>55.33</v>
      </c>
      <c r="AE4" s="8" t="s">
        <v>171</v>
      </c>
      <c r="AF4" s="22">
        <f t="shared" ref="AF4:AF10" si="5">50*(75+75)*IF(ISBLANK(AJ4),1,0)*IF(ISBLANK(AE4),0,1)</f>
        <v>7500</v>
      </c>
      <c r="AG4" s="22">
        <f t="shared" ref="AG4:AG35" si="6">(15*(-2.5-2.5)+50*AH4*AI4*((AL4-AK4)-(AN4-AM4)))*IF(ISBLANK(AE4),0,1)</f>
        <v>-75</v>
      </c>
      <c r="AH4" s="22">
        <v>1</v>
      </c>
      <c r="AI4" s="22">
        <v>125000</v>
      </c>
      <c r="AJ4" s="22"/>
      <c r="AK4" s="38">
        <v>1.3218000000000001</v>
      </c>
      <c r="AL4" s="39">
        <v>1.3218000000000001</v>
      </c>
      <c r="AM4" s="38">
        <v>1.3232999999999999</v>
      </c>
      <c r="AN4" s="39">
        <v>1.3232999999999999</v>
      </c>
      <c r="AO4" s="8" t="s">
        <v>102</v>
      </c>
      <c r="AP4" s="22">
        <f>50*(37.5+37.5)*IF(ISBLANK(AT4),1,0)</f>
        <v>3750</v>
      </c>
      <c r="AQ4" s="22">
        <f t="shared" ref="AQ4:AQ35" si="7">15*(-2.5-2.5)+50*AR4*AS4*((AV4-AU4)-(AX4-AW4))</f>
        <v>-75</v>
      </c>
      <c r="AR4" s="22">
        <v>-1</v>
      </c>
      <c r="AS4" s="22">
        <v>25000</v>
      </c>
      <c r="AT4" s="70"/>
      <c r="AU4" s="38">
        <v>3.1505000000000001</v>
      </c>
      <c r="AV4" s="39">
        <v>3.1505000000000001</v>
      </c>
      <c r="AW4" s="38">
        <v>3.1555</v>
      </c>
      <c r="AX4" s="39">
        <v>3.1555</v>
      </c>
      <c r="AY4" s="3" t="s">
        <v>140</v>
      </c>
      <c r="AZ4" s="26">
        <f>50000*IF(ISBLANK(BD4),1,0)</f>
        <v>50000</v>
      </c>
      <c r="BA4" s="24">
        <v>-50500</v>
      </c>
      <c r="BB4" s="3">
        <v>-1</v>
      </c>
      <c r="BC4" s="3">
        <v>250</v>
      </c>
      <c r="BD4" s="3"/>
      <c r="BE4" s="3">
        <v>53.25</v>
      </c>
      <c r="BF4" s="3"/>
      <c r="BG4" s="7">
        <v>63.35</v>
      </c>
      <c r="BH4" s="7"/>
      <c r="BI4" s="25" t="s">
        <v>160</v>
      </c>
      <c r="BJ4" s="83">
        <f>25000*IF(ISBLANK(BN4),1,0)</f>
        <v>25000</v>
      </c>
      <c r="BK4" s="25">
        <f t="shared" ref="BK4:BK13" si="8">-250+BL4*(54*(BP4-BO4)-((BR4-BQ4)*50))*1000</f>
        <v>628409.99999999895</v>
      </c>
      <c r="BL4" s="61">
        <v>1</v>
      </c>
      <c r="BM4" s="25">
        <v>1000</v>
      </c>
      <c r="BO4" s="25">
        <v>86.62</v>
      </c>
      <c r="BP4" s="61">
        <v>97.41</v>
      </c>
      <c r="BQ4" s="25">
        <v>93.32</v>
      </c>
      <c r="BR4" s="61">
        <v>92.4</v>
      </c>
      <c r="BS4" s="3" t="s">
        <v>186</v>
      </c>
      <c r="BT4" s="24">
        <f>0*IF(ISBLANK(BX4),1,0)</f>
        <v>0</v>
      </c>
      <c r="BU4" s="24">
        <f>-1000-(BY4*BW4*25*BV4*1)+(BZ4*BW4*BV4*25)</f>
        <v>-234750</v>
      </c>
      <c r="BV4" s="3">
        <v>1</v>
      </c>
      <c r="BW4" s="3">
        <v>250</v>
      </c>
      <c r="BX4" s="3"/>
      <c r="BY4" s="3">
        <v>37.4</v>
      </c>
      <c r="BZ4" s="3"/>
      <c r="CA4" s="25" t="s">
        <v>187</v>
      </c>
      <c r="CB4" s="24">
        <f>0*IF(ISBLANK(CF4),1,0)</f>
        <v>0</v>
      </c>
      <c r="CC4" s="25">
        <f xml:space="preserve"> -400-((CG4+CH4)*CE4*CD4*10)</f>
        <v>-82200</v>
      </c>
      <c r="CD4" s="61">
        <v>1</v>
      </c>
      <c r="CE4" s="25">
        <v>1000</v>
      </c>
      <c r="CG4" s="25">
        <v>2.5499999999999998</v>
      </c>
      <c r="CH4" s="25">
        <v>5.63</v>
      </c>
    </row>
    <row r="5" spans="1:87" s="25" customFormat="1" x14ac:dyDescent="0.2">
      <c r="A5" s="80">
        <v>40868</v>
      </c>
      <c r="B5" s="62" t="s">
        <v>91</v>
      </c>
      <c r="C5" s="62" t="s">
        <v>92</v>
      </c>
      <c r="D5" s="57">
        <f t="shared" si="0"/>
        <v>938369.99999999697</v>
      </c>
      <c r="E5" s="44">
        <f t="shared" ref="E5:E37" si="9">H5+P5+X5+AF5+AP5+AZ5+BJ5+BT5+CB5</f>
        <v>164250</v>
      </c>
      <c r="F5" s="44">
        <f t="shared" ref="F5:F37" si="10">I5+Q5+Y5+AG5+AQ5+BA5+BK5+BU5+CC5</f>
        <v>102619.99999999691</v>
      </c>
      <c r="G5" s="9" t="s">
        <v>38</v>
      </c>
      <c r="H5" s="22">
        <f>4*4000*IF(ISBLANK(L5),1,0)</f>
        <v>16000</v>
      </c>
      <c r="I5" s="22">
        <f t="shared" si="1"/>
        <v>-8200.0000000000073</v>
      </c>
      <c r="J5" s="22">
        <v>1</v>
      </c>
      <c r="K5" s="22">
        <v>125000</v>
      </c>
      <c r="L5" s="29"/>
      <c r="M5" s="22">
        <v>1.3655999999999999</v>
      </c>
      <c r="N5" s="35">
        <v>1.3495999999999999</v>
      </c>
      <c r="O5" s="9" t="s">
        <v>93</v>
      </c>
      <c r="P5" s="22">
        <f t="shared" si="2"/>
        <v>40000</v>
      </c>
      <c r="Q5" s="22">
        <f t="shared" si="3"/>
        <v>-3600</v>
      </c>
      <c r="R5" s="22">
        <v>1</v>
      </c>
      <c r="S5" s="22">
        <v>250</v>
      </c>
      <c r="T5" s="33"/>
      <c r="U5" s="38">
        <v>1191.9000000000001</v>
      </c>
      <c r="V5" s="39">
        <v>1184.9000000000001</v>
      </c>
      <c r="W5" s="9" t="s">
        <v>94</v>
      </c>
      <c r="X5" s="22">
        <f t="shared" ref="X5:X12" si="11">8*2750*IF(ISBLANK(AB5),1,0)</f>
        <v>22000</v>
      </c>
      <c r="Y5" s="65">
        <f t="shared" si="4"/>
        <v>-74640</v>
      </c>
      <c r="Z5" s="22">
        <v>1</v>
      </c>
      <c r="AA5" s="22">
        <v>10000</v>
      </c>
      <c r="AB5" s="33"/>
      <c r="AC5" s="40">
        <v>4.327</v>
      </c>
      <c r="AD5" s="39">
        <v>3.399</v>
      </c>
      <c r="AE5" s="8" t="s">
        <v>171</v>
      </c>
      <c r="AF5" s="22">
        <f t="shared" si="5"/>
        <v>7500</v>
      </c>
      <c r="AG5" s="22">
        <f t="shared" si="6"/>
        <v>-20700.000000001892</v>
      </c>
      <c r="AH5" s="22">
        <v>1</v>
      </c>
      <c r="AI5" s="22">
        <v>125000</v>
      </c>
      <c r="AJ5" s="22"/>
      <c r="AK5" s="38">
        <v>1.3218000000000001</v>
      </c>
      <c r="AL5" s="39">
        <v>1.3512</v>
      </c>
      <c r="AM5" s="38">
        <v>1.3232999999999999</v>
      </c>
      <c r="AN5" s="39">
        <v>1.3560000000000001</v>
      </c>
      <c r="AO5" s="8" t="s">
        <v>114</v>
      </c>
      <c r="AP5" s="22">
        <f t="shared" ref="AP5:AP13" si="12">50*(37.5+37.5)*IF(ISBLANK(AT5),1,0)</f>
        <v>3750</v>
      </c>
      <c r="AQ5" s="22">
        <f t="shared" si="7"/>
        <v>11174.999999999871</v>
      </c>
      <c r="AR5" s="22">
        <v>1</v>
      </c>
      <c r="AS5" s="22">
        <v>25000</v>
      </c>
      <c r="AT5" s="70"/>
      <c r="AU5" s="38">
        <v>3.1505000000000001</v>
      </c>
      <c r="AV5" s="39">
        <v>3.3029999999999999</v>
      </c>
      <c r="AW5" s="22">
        <v>3.1555</v>
      </c>
      <c r="AX5" s="35">
        <v>3.2989999999999999</v>
      </c>
      <c r="AY5" s="3" t="s">
        <v>140</v>
      </c>
      <c r="AZ5" s="26">
        <f t="shared" ref="AZ5:AZ14" si="13">50000*IF(ISBLANK(BD5),1,0)</f>
        <v>50000</v>
      </c>
      <c r="BA5" s="24">
        <f>-62375-50500</f>
        <v>-112875</v>
      </c>
      <c r="BB5" s="3">
        <v>-1</v>
      </c>
      <c r="BC5" s="3">
        <v>250</v>
      </c>
      <c r="BD5" s="3"/>
      <c r="BE5" s="3">
        <v>53.25</v>
      </c>
      <c r="BF5" s="3">
        <v>53.5</v>
      </c>
      <c r="BG5" s="7">
        <v>63.35</v>
      </c>
      <c r="BH5" s="7">
        <v>61.15</v>
      </c>
      <c r="BI5" s="25" t="s">
        <v>160</v>
      </c>
      <c r="BJ5" s="83">
        <f t="shared" ref="BJ5:BJ37" si="14">25000*IF(ISBLANK(BN5),1,0)</f>
        <v>25000</v>
      </c>
      <c r="BK5" s="25">
        <f t="shared" si="8"/>
        <v>628409.99999999895</v>
      </c>
      <c r="BL5" s="61">
        <v>1</v>
      </c>
      <c r="BM5" s="25">
        <v>1000</v>
      </c>
      <c r="BO5" s="25">
        <v>86.62</v>
      </c>
      <c r="BP5" s="61">
        <v>97.41</v>
      </c>
      <c r="BQ5" s="25">
        <v>93.32</v>
      </c>
      <c r="BR5" s="61">
        <v>92.4</v>
      </c>
      <c r="BS5" s="3" t="s">
        <v>186</v>
      </c>
      <c r="BT5" s="24">
        <f t="shared" ref="BT5:BT37" si="15">0*IF(ISBLANK(BX5),1,0)</f>
        <v>0</v>
      </c>
      <c r="BU5" s="24">
        <f t="shared" ref="BU5:BU37" si="16">-1000-(BY5*BW5*25*BV5*1)+(BZ5*BW5*BV5*25)</f>
        <v>-234750</v>
      </c>
      <c r="BV5" s="3">
        <v>1</v>
      </c>
      <c r="BW5" s="3">
        <v>250</v>
      </c>
      <c r="BX5" s="3"/>
      <c r="BY5" s="3">
        <v>37.4</v>
      </c>
      <c r="BZ5" s="3"/>
      <c r="CA5" s="25" t="s">
        <v>187</v>
      </c>
      <c r="CB5" s="24">
        <f t="shared" ref="CB5:CB37" si="17">0*IF(ISBLANK(CF5),1,0)</f>
        <v>0</v>
      </c>
      <c r="CC5" s="25">
        <f t="shared" ref="CC5:CC37" si="18" xml:space="preserve"> -400-((CG5+CH5)*CE5*CD5*10)</f>
        <v>-82200</v>
      </c>
      <c r="CD5" s="61">
        <v>1</v>
      </c>
      <c r="CE5" s="25">
        <v>1000</v>
      </c>
      <c r="CG5" s="25">
        <v>2.5499999999999998</v>
      </c>
      <c r="CH5" s="25">
        <v>5.63</v>
      </c>
    </row>
    <row r="6" spans="1:87" s="25" customFormat="1" x14ac:dyDescent="0.2">
      <c r="A6" s="80">
        <v>40868</v>
      </c>
      <c r="B6" s="8" t="s">
        <v>95</v>
      </c>
      <c r="C6" s="8" t="s">
        <v>96</v>
      </c>
      <c r="D6" s="57">
        <f t="shared" si="0"/>
        <v>1021639.9999999972</v>
      </c>
      <c r="E6" s="44">
        <f t="shared" si="9"/>
        <v>101250</v>
      </c>
      <c r="F6" s="44">
        <f t="shared" si="10"/>
        <v>122889.99999999726</v>
      </c>
      <c r="G6" s="84" t="s">
        <v>71</v>
      </c>
      <c r="H6" s="22">
        <f>4*4000*IF(ISBLANK(L6),1,0)</f>
        <v>0</v>
      </c>
      <c r="I6" s="22">
        <f t="shared" si="1"/>
        <v>-22149.999999999913</v>
      </c>
      <c r="J6" s="22">
        <v>1</v>
      </c>
      <c r="K6" s="22">
        <v>125000</v>
      </c>
      <c r="L6" s="29">
        <v>40819</v>
      </c>
      <c r="M6" s="22">
        <v>1.3655999999999999</v>
      </c>
      <c r="N6" s="35">
        <v>1.3217000000000001</v>
      </c>
      <c r="O6" s="89" t="s">
        <v>206</v>
      </c>
      <c r="P6" s="22">
        <f t="shared" si="2"/>
        <v>40000</v>
      </c>
      <c r="Q6" s="22">
        <f t="shared" si="3"/>
        <v>-3600</v>
      </c>
      <c r="R6" s="22">
        <v>1</v>
      </c>
      <c r="S6" s="22">
        <v>250</v>
      </c>
      <c r="T6" s="33"/>
      <c r="U6" s="38">
        <v>1191.9000000000001</v>
      </c>
      <c r="V6" s="39">
        <v>1184.9000000000001</v>
      </c>
      <c r="W6" s="84" t="s">
        <v>175</v>
      </c>
      <c r="X6" s="22">
        <f>8*2750*IF(ISBLANK(AB6),1,0)</f>
        <v>0</v>
      </c>
      <c r="Y6" s="36">
        <f t="shared" si="4"/>
        <v>-17920.000000000025</v>
      </c>
      <c r="Z6" s="22">
        <v>1</v>
      </c>
      <c r="AA6" s="22">
        <v>10000</v>
      </c>
      <c r="AB6" s="37">
        <v>40819</v>
      </c>
      <c r="AC6" s="40">
        <v>4.327</v>
      </c>
      <c r="AD6" s="39">
        <v>4.1079999999999997</v>
      </c>
      <c r="AE6" s="8" t="s">
        <v>171</v>
      </c>
      <c r="AF6" s="22">
        <f t="shared" si="5"/>
        <v>7500</v>
      </c>
      <c r="AG6" s="22">
        <f t="shared" si="6"/>
        <v>-20700.000000001892</v>
      </c>
      <c r="AH6" s="22">
        <v>1</v>
      </c>
      <c r="AI6" s="22">
        <v>125000</v>
      </c>
      <c r="AJ6" s="22"/>
      <c r="AK6" s="68">
        <v>1.3218000000000001</v>
      </c>
      <c r="AL6" s="69">
        <v>1.3512</v>
      </c>
      <c r="AM6" s="68">
        <v>1.3232999999999999</v>
      </c>
      <c r="AN6" s="69">
        <v>1.3560000000000001</v>
      </c>
      <c r="AO6" s="8" t="s">
        <v>102</v>
      </c>
      <c r="AP6" s="22">
        <f t="shared" si="12"/>
        <v>3750</v>
      </c>
      <c r="AQ6" s="22">
        <f t="shared" si="7"/>
        <v>-11324.999999999871</v>
      </c>
      <c r="AR6" s="22">
        <v>-1</v>
      </c>
      <c r="AS6" s="22">
        <v>25000</v>
      </c>
      <c r="AT6" s="70"/>
      <c r="AU6" s="76">
        <v>3.1505000000000001</v>
      </c>
      <c r="AV6" s="77">
        <v>3.3029999999999999</v>
      </c>
      <c r="AW6" s="78">
        <v>3.1555</v>
      </c>
      <c r="AX6" s="79">
        <v>3.2989999999999999</v>
      </c>
      <c r="AY6" s="3" t="s">
        <v>140</v>
      </c>
      <c r="AZ6" s="26">
        <f t="shared" si="13"/>
        <v>50000</v>
      </c>
      <c r="BA6" s="24">
        <f>-62375-50500</f>
        <v>-112875</v>
      </c>
      <c r="BB6" s="3">
        <v>-1</v>
      </c>
      <c r="BC6" s="3">
        <v>250</v>
      </c>
      <c r="BD6" s="7"/>
      <c r="BE6" s="3">
        <v>53.25</v>
      </c>
      <c r="BF6" s="3">
        <v>53.5</v>
      </c>
      <c r="BG6" s="7">
        <v>63.35</v>
      </c>
      <c r="BH6" s="3">
        <v>61.15</v>
      </c>
      <c r="BI6" s="88" t="s">
        <v>194</v>
      </c>
      <c r="BJ6" s="83">
        <f t="shared" si="14"/>
        <v>0</v>
      </c>
      <c r="BK6" s="25">
        <f t="shared" si="8"/>
        <v>628409.99999999895</v>
      </c>
      <c r="BL6" s="61">
        <v>1</v>
      </c>
      <c r="BM6" s="25">
        <v>1000</v>
      </c>
      <c r="BN6" s="25" t="s">
        <v>180</v>
      </c>
      <c r="BO6" s="25">
        <v>86.62</v>
      </c>
      <c r="BP6" s="61">
        <v>97.41</v>
      </c>
      <c r="BQ6" s="25">
        <v>93.32</v>
      </c>
      <c r="BR6" s="61">
        <v>92.4</v>
      </c>
      <c r="BS6" s="3" t="s">
        <v>186</v>
      </c>
      <c r="BT6" s="24">
        <f t="shared" si="15"/>
        <v>0</v>
      </c>
      <c r="BU6" s="24">
        <f t="shared" si="16"/>
        <v>-234750</v>
      </c>
      <c r="BV6" s="3">
        <v>1</v>
      </c>
      <c r="BW6" s="3">
        <v>250</v>
      </c>
      <c r="BX6" s="7"/>
      <c r="BY6" s="3">
        <v>37.4</v>
      </c>
      <c r="BZ6" s="3"/>
      <c r="CA6" s="25" t="s">
        <v>188</v>
      </c>
      <c r="CB6" s="24">
        <f t="shared" si="17"/>
        <v>0</v>
      </c>
      <c r="CC6" s="25">
        <f t="shared" si="18"/>
        <v>-82200</v>
      </c>
      <c r="CD6" s="61">
        <v>1</v>
      </c>
      <c r="CE6" s="25">
        <v>1000</v>
      </c>
      <c r="CG6" s="25">
        <v>2.5499999999999998</v>
      </c>
      <c r="CH6" s="25">
        <v>5.63</v>
      </c>
    </row>
    <row r="7" spans="1:87" s="25" customFormat="1" x14ac:dyDescent="0.2">
      <c r="A7" s="80">
        <v>40868</v>
      </c>
      <c r="B7" s="8" t="s">
        <v>97</v>
      </c>
      <c r="C7" s="8" t="s">
        <v>98</v>
      </c>
      <c r="D7" s="57">
        <f t="shared" si="0"/>
        <v>1304099.9999999986</v>
      </c>
      <c r="E7" s="44">
        <f t="shared" si="9"/>
        <v>0</v>
      </c>
      <c r="F7" s="44">
        <f t="shared" si="10"/>
        <v>304099.99999999872</v>
      </c>
      <c r="G7" s="9" t="s">
        <v>172</v>
      </c>
      <c r="H7" s="22">
        <f>4*1800*IF(ISBLANK(L7),1,0)</f>
        <v>0</v>
      </c>
      <c r="I7" s="22">
        <f t="shared" si="1"/>
        <v>-22239.999999999971</v>
      </c>
      <c r="J7" s="22">
        <v>1</v>
      </c>
      <c r="K7" s="22">
        <v>100000</v>
      </c>
      <c r="L7" s="29">
        <v>40819</v>
      </c>
      <c r="M7" s="22">
        <v>1.0043</v>
      </c>
      <c r="N7" s="35">
        <v>0.94920000000000004</v>
      </c>
      <c r="O7" s="9" t="s">
        <v>174</v>
      </c>
      <c r="P7" s="22">
        <f t="shared" si="2"/>
        <v>0</v>
      </c>
      <c r="Q7" s="22">
        <f t="shared" si="3"/>
        <v>55950.000000000065</v>
      </c>
      <c r="R7" s="22">
        <v>-1</v>
      </c>
      <c r="S7" s="22">
        <v>250</v>
      </c>
      <c r="T7" s="37">
        <v>40819</v>
      </c>
      <c r="U7" s="38">
        <v>1191.9000000000001</v>
      </c>
      <c r="V7" s="39">
        <v>1079.8</v>
      </c>
      <c r="W7" s="9" t="s">
        <v>175</v>
      </c>
      <c r="X7" s="22">
        <f t="shared" si="11"/>
        <v>0</v>
      </c>
      <c r="Y7" s="36">
        <f t="shared" si="4"/>
        <v>-17920.000000000025</v>
      </c>
      <c r="Z7" s="22">
        <v>1</v>
      </c>
      <c r="AA7" s="22">
        <v>10000</v>
      </c>
      <c r="AB7" s="37">
        <v>40819</v>
      </c>
      <c r="AC7" s="40">
        <v>4.327</v>
      </c>
      <c r="AD7" s="39">
        <v>4.1079999999999997</v>
      </c>
      <c r="AE7" s="8" t="s">
        <v>171</v>
      </c>
      <c r="AF7" s="22">
        <f t="shared" si="5"/>
        <v>0</v>
      </c>
      <c r="AG7" s="22">
        <f t="shared" si="6"/>
        <v>16799.999999999531</v>
      </c>
      <c r="AH7" s="22">
        <v>1</v>
      </c>
      <c r="AI7" s="22">
        <v>125000</v>
      </c>
      <c r="AJ7" s="29" t="s">
        <v>127</v>
      </c>
      <c r="AK7" s="68">
        <v>1.3218000000000001</v>
      </c>
      <c r="AL7" s="69">
        <v>1.3731</v>
      </c>
      <c r="AM7" s="68">
        <v>1.3232999999999999</v>
      </c>
      <c r="AN7" s="69">
        <v>1.3718999999999999</v>
      </c>
      <c r="AO7" s="8" t="s">
        <v>102</v>
      </c>
      <c r="AP7" s="22">
        <f t="shared" si="12"/>
        <v>0</v>
      </c>
      <c r="AQ7" s="22">
        <f t="shared" si="7"/>
        <v>10550.000000000218</v>
      </c>
      <c r="AR7" s="22">
        <v>-1</v>
      </c>
      <c r="AS7" s="22">
        <v>25000</v>
      </c>
      <c r="AT7" s="71">
        <v>40833</v>
      </c>
      <c r="AU7" s="72">
        <v>3.1505000000000001</v>
      </c>
      <c r="AV7" s="75">
        <v>3.3645</v>
      </c>
      <c r="AW7" s="74">
        <v>3.1555</v>
      </c>
      <c r="AX7" s="73">
        <v>3.3780000000000001</v>
      </c>
      <c r="AY7" s="85" t="s">
        <v>193</v>
      </c>
      <c r="AZ7" s="26">
        <f t="shared" si="13"/>
        <v>0</v>
      </c>
      <c r="BA7" s="24">
        <v>-50500</v>
      </c>
      <c r="BB7" s="3">
        <v>-1</v>
      </c>
      <c r="BC7" s="3">
        <v>250</v>
      </c>
      <c r="BD7" s="3" t="s">
        <v>180</v>
      </c>
      <c r="BE7" s="3">
        <v>53.25</v>
      </c>
      <c r="BF7" s="3"/>
      <c r="BG7" s="7">
        <v>63.35</v>
      </c>
      <c r="BH7" s="3"/>
      <c r="BI7" s="88" t="s">
        <v>194</v>
      </c>
      <c r="BJ7" s="83">
        <f t="shared" si="14"/>
        <v>0</v>
      </c>
      <c r="BK7" s="25">
        <f t="shared" si="8"/>
        <v>628409.99999999895</v>
      </c>
      <c r="BL7" s="61">
        <v>1</v>
      </c>
      <c r="BM7" s="25">
        <v>1000</v>
      </c>
      <c r="BN7" s="25" t="s">
        <v>180</v>
      </c>
      <c r="BO7" s="25">
        <v>86.62</v>
      </c>
      <c r="BP7" s="61">
        <v>97.41</v>
      </c>
      <c r="BQ7" s="25">
        <v>93.32</v>
      </c>
      <c r="BR7" s="61">
        <v>92.4</v>
      </c>
      <c r="BS7" s="3" t="s">
        <v>189</v>
      </c>
      <c r="BT7" s="24">
        <f t="shared" si="15"/>
        <v>0</v>
      </c>
      <c r="BU7" s="24">
        <f t="shared" si="16"/>
        <v>-234750</v>
      </c>
      <c r="BV7" s="3">
        <v>1</v>
      </c>
      <c r="BW7" s="3">
        <v>250</v>
      </c>
      <c r="BX7" s="3"/>
      <c r="BY7" s="3">
        <v>37.4</v>
      </c>
      <c r="BZ7" s="3"/>
      <c r="CA7" s="25" t="s">
        <v>188</v>
      </c>
      <c r="CB7" s="24">
        <f t="shared" si="17"/>
        <v>0</v>
      </c>
      <c r="CC7" s="25">
        <f t="shared" si="18"/>
        <v>-82200</v>
      </c>
      <c r="CD7" s="61">
        <v>1</v>
      </c>
      <c r="CE7" s="25">
        <v>1000</v>
      </c>
      <c r="CG7" s="25">
        <v>2.5499999999999998</v>
      </c>
      <c r="CH7" s="25">
        <v>5.63</v>
      </c>
    </row>
    <row r="8" spans="1:87" s="25" customFormat="1" x14ac:dyDescent="0.2">
      <c r="A8" s="80">
        <v>40868</v>
      </c>
      <c r="B8" s="8" t="s">
        <v>118</v>
      </c>
      <c r="C8" s="8" t="s">
        <v>119</v>
      </c>
      <c r="D8" s="57">
        <f t="shared" si="0"/>
        <v>1269384.9999999984</v>
      </c>
      <c r="E8" s="44">
        <f t="shared" si="9"/>
        <v>0</v>
      </c>
      <c r="F8" s="44">
        <f t="shared" si="10"/>
        <v>269384.99999999837</v>
      </c>
      <c r="G8" s="9" t="s">
        <v>88</v>
      </c>
      <c r="H8" s="22">
        <f>4*1800*IF(ISBLANK(L8),1,0)</f>
        <v>0</v>
      </c>
      <c r="I8" s="22">
        <f t="shared" si="1"/>
        <v>-11400.000000000009</v>
      </c>
      <c r="J8" s="22">
        <v>1</v>
      </c>
      <c r="K8" s="22">
        <v>100000</v>
      </c>
      <c r="L8" s="29">
        <v>40833</v>
      </c>
      <c r="M8" s="22">
        <v>1.0043</v>
      </c>
      <c r="N8" s="35">
        <v>0.97629999999999995</v>
      </c>
      <c r="O8" s="9" t="s">
        <v>93</v>
      </c>
      <c r="P8" s="22">
        <f t="shared" si="2"/>
        <v>0</v>
      </c>
      <c r="Q8" s="22">
        <f t="shared" si="3"/>
        <v>-2104.9999999999955</v>
      </c>
      <c r="R8" s="22">
        <v>1</v>
      </c>
      <c r="S8" s="22">
        <v>250</v>
      </c>
      <c r="T8" s="33" t="s">
        <v>65</v>
      </c>
      <c r="U8" s="38">
        <v>1191.9000000000001</v>
      </c>
      <c r="V8" s="39">
        <v>1187.8900000000001</v>
      </c>
      <c r="W8" s="9" t="s">
        <v>175</v>
      </c>
      <c r="X8" s="22">
        <f t="shared" si="11"/>
        <v>0</v>
      </c>
      <c r="Y8" s="36">
        <f t="shared" si="4"/>
        <v>-17920.000000000025</v>
      </c>
      <c r="Z8" s="22">
        <v>1</v>
      </c>
      <c r="AA8" s="22">
        <v>10000</v>
      </c>
      <c r="AB8" s="37">
        <v>40819</v>
      </c>
      <c r="AC8" s="40">
        <v>4.327</v>
      </c>
      <c r="AD8" s="39">
        <v>4.1079999999999997</v>
      </c>
      <c r="AE8" s="8" t="s">
        <v>171</v>
      </c>
      <c r="AF8" s="22">
        <f t="shared" si="5"/>
        <v>0</v>
      </c>
      <c r="AG8" s="22">
        <f t="shared" si="6"/>
        <v>16799.999999999531</v>
      </c>
      <c r="AH8" s="22">
        <v>1</v>
      </c>
      <c r="AI8" s="22">
        <v>125000</v>
      </c>
      <c r="AJ8" s="29" t="s">
        <v>127</v>
      </c>
      <c r="AK8" s="68">
        <v>1.3218000000000001</v>
      </c>
      <c r="AL8" s="69">
        <v>1.3731</v>
      </c>
      <c r="AM8" s="68">
        <v>1.3232999999999999</v>
      </c>
      <c r="AN8" s="69">
        <v>1.3718999999999999</v>
      </c>
      <c r="AO8" s="8" t="s">
        <v>114</v>
      </c>
      <c r="AP8" s="22">
        <f t="shared" si="12"/>
        <v>0</v>
      </c>
      <c r="AQ8" s="22">
        <f t="shared" si="7"/>
        <v>23049.999999999953</v>
      </c>
      <c r="AR8" s="22">
        <v>1</v>
      </c>
      <c r="AS8" s="22">
        <v>25000</v>
      </c>
      <c r="AT8" s="71">
        <v>40833</v>
      </c>
      <c r="AU8" s="72">
        <v>3.1505000000000001</v>
      </c>
      <c r="AV8" s="73">
        <v>3.3780000000000001</v>
      </c>
      <c r="AW8" s="74">
        <v>3.1555</v>
      </c>
      <c r="AX8" s="75">
        <v>3.3645</v>
      </c>
      <c r="AY8" s="85" t="s">
        <v>193</v>
      </c>
      <c r="AZ8" s="26">
        <f t="shared" si="13"/>
        <v>0</v>
      </c>
      <c r="BA8" s="24">
        <v>-50500</v>
      </c>
      <c r="BB8" s="3">
        <v>-1</v>
      </c>
      <c r="BC8" s="3">
        <v>250</v>
      </c>
      <c r="BD8" s="8" t="s">
        <v>180</v>
      </c>
      <c r="BE8" s="3">
        <v>53.25</v>
      </c>
      <c r="BF8" s="3">
        <v>53.5</v>
      </c>
      <c r="BG8" s="7">
        <v>63.35</v>
      </c>
      <c r="BH8" s="7">
        <v>61.35</v>
      </c>
      <c r="BI8" s="88" t="s">
        <v>194</v>
      </c>
      <c r="BJ8" s="83">
        <f t="shared" si="14"/>
        <v>0</v>
      </c>
      <c r="BK8" s="25">
        <f t="shared" si="8"/>
        <v>628409.99999999895</v>
      </c>
      <c r="BL8" s="61">
        <v>1</v>
      </c>
      <c r="BM8" s="25">
        <v>1000</v>
      </c>
      <c r="BN8" s="25" t="s">
        <v>180</v>
      </c>
      <c r="BO8" s="25">
        <v>86.62</v>
      </c>
      <c r="BP8" s="61">
        <v>97.41</v>
      </c>
      <c r="BQ8" s="25">
        <v>93.32</v>
      </c>
      <c r="BR8" s="61">
        <v>92.4</v>
      </c>
      <c r="BS8" s="3" t="s">
        <v>189</v>
      </c>
      <c r="BT8" s="24">
        <f t="shared" si="15"/>
        <v>0</v>
      </c>
      <c r="BU8" s="24">
        <f t="shared" si="16"/>
        <v>-234750</v>
      </c>
      <c r="BV8" s="3">
        <v>1</v>
      </c>
      <c r="BW8" s="3">
        <v>250</v>
      </c>
      <c r="BX8" s="8"/>
      <c r="BY8" s="3">
        <v>37.4</v>
      </c>
      <c r="BZ8" s="3"/>
      <c r="CA8" s="25" t="s">
        <v>188</v>
      </c>
      <c r="CB8" s="24">
        <f t="shared" si="17"/>
        <v>0</v>
      </c>
      <c r="CC8" s="25">
        <f t="shared" si="18"/>
        <v>-82200</v>
      </c>
      <c r="CD8" s="61">
        <v>1</v>
      </c>
      <c r="CE8" s="25">
        <v>1000</v>
      </c>
      <c r="CG8" s="25">
        <v>2.5499999999999998</v>
      </c>
      <c r="CH8" s="25">
        <v>5.63</v>
      </c>
    </row>
    <row r="9" spans="1:87" s="25" customFormat="1" x14ac:dyDescent="0.2">
      <c r="A9" s="80">
        <v>40868</v>
      </c>
      <c r="B9" s="8" t="s">
        <v>120</v>
      </c>
      <c r="C9" s="8" t="s">
        <v>121</v>
      </c>
      <c r="D9" s="57">
        <f t="shared" si="0"/>
        <v>1147264.9999999972</v>
      </c>
      <c r="E9" s="44">
        <f t="shared" si="9"/>
        <v>47500</v>
      </c>
      <c r="F9" s="44">
        <f t="shared" si="10"/>
        <v>194764.99999999732</v>
      </c>
      <c r="G9" s="84" t="s">
        <v>131</v>
      </c>
      <c r="H9" s="22">
        <f>4*4000*IF(ISBLANK(L9),1,0)</f>
        <v>0</v>
      </c>
      <c r="I9" s="22">
        <f t="shared" si="1"/>
        <v>-22149.999999999913</v>
      </c>
      <c r="J9" s="22">
        <v>1</v>
      </c>
      <c r="K9" s="22">
        <v>125000</v>
      </c>
      <c r="L9" s="29">
        <v>40833</v>
      </c>
      <c r="M9" s="22">
        <v>1.3655999999999999</v>
      </c>
      <c r="N9" s="35">
        <v>1.3217000000000001</v>
      </c>
      <c r="O9" s="9" t="s">
        <v>93</v>
      </c>
      <c r="P9" s="22">
        <f t="shared" si="2"/>
        <v>40000</v>
      </c>
      <c r="Q9" s="22">
        <f t="shared" si="3"/>
        <v>-3600</v>
      </c>
      <c r="R9" s="22">
        <v>1</v>
      </c>
      <c r="S9" s="22">
        <v>250</v>
      </c>
      <c r="T9" s="33"/>
      <c r="U9" s="38">
        <v>1191.9000000000001</v>
      </c>
      <c r="V9" s="39">
        <v>1184.9000000000001</v>
      </c>
      <c r="W9" s="84" t="s">
        <v>207</v>
      </c>
      <c r="X9" s="22">
        <f t="shared" si="11"/>
        <v>0</v>
      </c>
      <c r="Y9" s="36">
        <f t="shared" si="4"/>
        <v>-17920.000000000025</v>
      </c>
      <c r="Z9" s="22">
        <v>1</v>
      </c>
      <c r="AA9" s="22">
        <v>10000</v>
      </c>
      <c r="AB9" s="33" t="s">
        <v>180</v>
      </c>
      <c r="AC9" s="40">
        <v>4.327</v>
      </c>
      <c r="AD9" s="39">
        <v>4.1079999999999997</v>
      </c>
      <c r="AE9" s="8" t="s">
        <v>171</v>
      </c>
      <c r="AF9" s="22">
        <f t="shared" si="5"/>
        <v>7500</v>
      </c>
      <c r="AG9" s="22">
        <f t="shared" si="6"/>
        <v>-20700.000000001892</v>
      </c>
      <c r="AH9" s="22">
        <v>1</v>
      </c>
      <c r="AI9" s="22">
        <v>125000</v>
      </c>
      <c r="AJ9" s="29"/>
      <c r="AK9" s="68">
        <v>1.3218000000000001</v>
      </c>
      <c r="AL9" s="69">
        <v>1.3512</v>
      </c>
      <c r="AM9" s="68">
        <v>1.3232999999999999</v>
      </c>
      <c r="AN9" s="69">
        <v>1.3560000000000001</v>
      </c>
      <c r="AO9" s="8" t="s">
        <v>102</v>
      </c>
      <c r="AP9" s="22">
        <f t="shared" si="12"/>
        <v>0</v>
      </c>
      <c r="AQ9" s="22">
        <f t="shared" si="7"/>
        <v>10550.000000000218</v>
      </c>
      <c r="AR9" s="22">
        <v>-1</v>
      </c>
      <c r="AS9" s="22">
        <v>25000</v>
      </c>
      <c r="AT9" s="71">
        <v>40833</v>
      </c>
      <c r="AU9" s="72">
        <v>3.1505000000000001</v>
      </c>
      <c r="AV9" s="75">
        <v>3.3645</v>
      </c>
      <c r="AW9" s="74">
        <v>3.1555</v>
      </c>
      <c r="AX9" s="73">
        <v>3.3780000000000001</v>
      </c>
      <c r="AY9" s="85" t="s">
        <v>193</v>
      </c>
      <c r="AZ9" s="26">
        <f t="shared" si="13"/>
        <v>0</v>
      </c>
      <c r="BA9" s="24">
        <f>-62375-50500+50000</f>
        <v>-62875</v>
      </c>
      <c r="BB9" s="3">
        <v>-1</v>
      </c>
      <c r="BC9" s="3">
        <v>250</v>
      </c>
      <c r="BD9" s="8" t="s">
        <v>180</v>
      </c>
      <c r="BE9" s="3">
        <v>53.25</v>
      </c>
      <c r="BF9" s="3">
        <v>53.5</v>
      </c>
      <c r="BG9" s="7">
        <v>63.35</v>
      </c>
      <c r="BH9" s="7">
        <v>61.15</v>
      </c>
      <c r="BI9" s="88" t="s">
        <v>194</v>
      </c>
      <c r="BJ9" s="83">
        <f t="shared" si="14"/>
        <v>0</v>
      </c>
      <c r="BK9" s="25">
        <f t="shared" si="8"/>
        <v>628409.99999999895</v>
      </c>
      <c r="BL9" s="61">
        <v>1</v>
      </c>
      <c r="BM9" s="25">
        <v>1000</v>
      </c>
      <c r="BN9" s="25" t="s">
        <v>180</v>
      </c>
      <c r="BO9" s="25">
        <v>86.62</v>
      </c>
      <c r="BP9" s="61">
        <v>97.41</v>
      </c>
      <c r="BQ9" s="25">
        <v>93.32</v>
      </c>
      <c r="BR9" s="61">
        <v>92.4</v>
      </c>
      <c r="BS9" s="3" t="s">
        <v>189</v>
      </c>
      <c r="BT9" s="24">
        <f t="shared" si="15"/>
        <v>0</v>
      </c>
      <c r="BU9" s="24">
        <f t="shared" si="16"/>
        <v>-234750</v>
      </c>
      <c r="BV9" s="3">
        <v>1</v>
      </c>
      <c r="BW9" s="3">
        <v>250</v>
      </c>
      <c r="BX9" s="8"/>
      <c r="BY9" s="3">
        <v>37.4</v>
      </c>
      <c r="BZ9" s="3"/>
      <c r="CA9" s="25" t="s">
        <v>188</v>
      </c>
      <c r="CB9" s="24">
        <f t="shared" si="17"/>
        <v>0</v>
      </c>
      <c r="CC9" s="25">
        <f t="shared" si="18"/>
        <v>-82200</v>
      </c>
      <c r="CD9" s="61">
        <v>1</v>
      </c>
      <c r="CE9" s="25">
        <v>1000</v>
      </c>
      <c r="CG9" s="25">
        <v>2.5499999999999998</v>
      </c>
      <c r="CH9" s="25">
        <v>5.63</v>
      </c>
    </row>
    <row r="10" spans="1:87" s="25" customFormat="1" x14ac:dyDescent="0.2">
      <c r="A10" s="80">
        <v>40868</v>
      </c>
      <c r="B10" s="8" t="s">
        <v>122</v>
      </c>
      <c r="C10" s="8" t="s">
        <v>123</v>
      </c>
      <c r="D10" s="57">
        <f t="shared" si="0"/>
        <v>1067724.9999999972</v>
      </c>
      <c r="E10" s="44">
        <f t="shared" si="9"/>
        <v>82500</v>
      </c>
      <c r="F10" s="44">
        <f t="shared" si="10"/>
        <v>150224.99999999732</v>
      </c>
      <c r="G10" s="9" t="s">
        <v>172</v>
      </c>
      <c r="H10" s="22">
        <f>4*1800*IF(ISBLANK(L10),1,0)</f>
        <v>0</v>
      </c>
      <c r="I10" s="22">
        <f t="shared" si="1"/>
        <v>-22239.999999999971</v>
      </c>
      <c r="J10" s="22">
        <v>1</v>
      </c>
      <c r="K10" s="22">
        <v>100000</v>
      </c>
      <c r="L10" s="29">
        <v>40819</v>
      </c>
      <c r="M10" s="22">
        <v>1.0043</v>
      </c>
      <c r="N10" s="35">
        <v>0.94920000000000004</v>
      </c>
      <c r="O10" s="9" t="s">
        <v>89</v>
      </c>
      <c r="P10" s="22">
        <f t="shared" si="2"/>
        <v>0</v>
      </c>
      <c r="Q10" s="22">
        <f t="shared" si="3"/>
        <v>1950.0000000000682</v>
      </c>
      <c r="R10" s="22">
        <v>-1</v>
      </c>
      <c r="S10" s="22">
        <v>250</v>
      </c>
      <c r="T10" s="33" t="s">
        <v>65</v>
      </c>
      <c r="U10" s="38">
        <v>1191.9000000000001</v>
      </c>
      <c r="V10" s="39">
        <v>1187.8</v>
      </c>
      <c r="W10" s="9" t="s">
        <v>175</v>
      </c>
      <c r="X10" s="22">
        <f t="shared" si="11"/>
        <v>0</v>
      </c>
      <c r="Y10" s="65">
        <f t="shared" si="4"/>
        <v>-17920.000000000025</v>
      </c>
      <c r="Z10" s="22">
        <v>1</v>
      </c>
      <c r="AA10" s="22">
        <v>10000</v>
      </c>
      <c r="AB10" s="37">
        <v>40819</v>
      </c>
      <c r="AC10" s="40">
        <v>4.327</v>
      </c>
      <c r="AD10" s="39">
        <v>4.1079999999999997</v>
      </c>
      <c r="AE10" s="8" t="s">
        <v>171</v>
      </c>
      <c r="AF10" s="22">
        <f t="shared" si="5"/>
        <v>7500</v>
      </c>
      <c r="AG10" s="22">
        <f t="shared" si="6"/>
        <v>-20700.000000001892</v>
      </c>
      <c r="AH10" s="22">
        <v>1</v>
      </c>
      <c r="AI10" s="22">
        <v>125000</v>
      </c>
      <c r="AJ10" s="29"/>
      <c r="AK10" s="68">
        <v>1.3218000000000001</v>
      </c>
      <c r="AL10" s="69">
        <v>1.3512</v>
      </c>
      <c r="AM10" s="68">
        <v>1.3232999999999999</v>
      </c>
      <c r="AN10" s="69">
        <v>1.3560000000000001</v>
      </c>
      <c r="AO10" s="8" t="s">
        <v>102</v>
      </c>
      <c r="AP10" s="22">
        <f t="shared" si="12"/>
        <v>0</v>
      </c>
      <c r="AQ10" s="22">
        <f t="shared" si="7"/>
        <v>10550.000000000218</v>
      </c>
      <c r="AR10" s="22">
        <v>-1</v>
      </c>
      <c r="AS10" s="22">
        <v>25000</v>
      </c>
      <c r="AT10" s="71">
        <v>40833</v>
      </c>
      <c r="AU10" s="72">
        <v>3.1505000000000001</v>
      </c>
      <c r="AV10" s="75">
        <v>3.3645</v>
      </c>
      <c r="AW10" s="74">
        <v>3.1555</v>
      </c>
      <c r="AX10" s="73">
        <v>3.3780000000000001</v>
      </c>
      <c r="AY10" s="3" t="s">
        <v>140</v>
      </c>
      <c r="AZ10" s="26">
        <f t="shared" si="13"/>
        <v>50000</v>
      </c>
      <c r="BA10" s="24">
        <f>-62375-50500</f>
        <v>-112875</v>
      </c>
      <c r="BB10" s="3">
        <v>-1</v>
      </c>
      <c r="BC10" s="3">
        <v>250</v>
      </c>
      <c r="BD10" s="9"/>
      <c r="BE10" s="3">
        <v>53.25</v>
      </c>
      <c r="BF10" s="3">
        <v>53.5</v>
      </c>
      <c r="BG10" s="7">
        <v>63.35</v>
      </c>
      <c r="BH10" s="3">
        <v>61.15</v>
      </c>
      <c r="BI10" s="25" t="s">
        <v>160</v>
      </c>
      <c r="BJ10" s="83">
        <f t="shared" si="14"/>
        <v>25000</v>
      </c>
      <c r="BK10" s="25">
        <f t="shared" si="8"/>
        <v>628409.99999999895</v>
      </c>
      <c r="BL10" s="61">
        <v>1</v>
      </c>
      <c r="BM10" s="25">
        <v>1000</v>
      </c>
      <c r="BO10" s="25">
        <v>86.62</v>
      </c>
      <c r="BP10" s="61">
        <v>97.41</v>
      </c>
      <c r="BQ10" s="25">
        <v>93.32</v>
      </c>
      <c r="BR10" s="61">
        <v>92.4</v>
      </c>
      <c r="BS10" s="3" t="s">
        <v>189</v>
      </c>
      <c r="BT10" s="24">
        <f t="shared" si="15"/>
        <v>0</v>
      </c>
      <c r="BU10" s="24">
        <f t="shared" si="16"/>
        <v>-234750</v>
      </c>
      <c r="BV10" s="3">
        <v>1</v>
      </c>
      <c r="BW10" s="3">
        <v>250</v>
      </c>
      <c r="BX10" s="3"/>
      <c r="BY10" s="3">
        <v>37.4</v>
      </c>
      <c r="BZ10" s="3"/>
      <c r="CA10" s="25" t="s">
        <v>188</v>
      </c>
      <c r="CB10" s="24">
        <f t="shared" si="17"/>
        <v>0</v>
      </c>
      <c r="CC10" s="25">
        <f t="shared" si="18"/>
        <v>-82200</v>
      </c>
      <c r="CD10" s="61">
        <v>1</v>
      </c>
      <c r="CE10" s="25">
        <v>1000</v>
      </c>
      <c r="CG10" s="25">
        <v>2.5499999999999998</v>
      </c>
      <c r="CH10" s="25">
        <v>5.63</v>
      </c>
    </row>
    <row r="11" spans="1:87" s="25" customFormat="1" x14ac:dyDescent="0.2">
      <c r="A11" s="80">
        <v>40868</v>
      </c>
      <c r="B11" s="8" t="s">
        <v>124</v>
      </c>
      <c r="C11" s="8" t="s">
        <v>125</v>
      </c>
      <c r="D11" s="57">
        <f t="shared" si="0"/>
        <v>1283254.9999999986</v>
      </c>
      <c r="E11" s="44">
        <f t="shared" si="9"/>
        <v>0</v>
      </c>
      <c r="F11" s="44">
        <f t="shared" si="10"/>
        <v>283254.9999999986</v>
      </c>
      <c r="G11" s="9" t="s">
        <v>129</v>
      </c>
      <c r="H11" s="22">
        <f>4*1800*IF(ISBLANK(L11),1,0)</f>
        <v>0</v>
      </c>
      <c r="I11" s="22">
        <f t="shared" si="1"/>
        <v>21839.999999999971</v>
      </c>
      <c r="J11" s="22">
        <v>-1</v>
      </c>
      <c r="K11" s="22">
        <v>100000</v>
      </c>
      <c r="L11" s="29">
        <v>40819</v>
      </c>
      <c r="M11" s="22">
        <v>1.0043</v>
      </c>
      <c r="N11" s="35">
        <v>0.94920000000000004</v>
      </c>
      <c r="O11" s="84" t="s">
        <v>201</v>
      </c>
      <c r="P11" s="22">
        <f t="shared" si="2"/>
        <v>0</v>
      </c>
      <c r="Q11" s="22">
        <f t="shared" si="3"/>
        <v>3400</v>
      </c>
      <c r="R11" s="22">
        <v>-1</v>
      </c>
      <c r="S11" s="22">
        <v>250</v>
      </c>
      <c r="T11" s="33" t="s">
        <v>180</v>
      </c>
      <c r="U11" s="38">
        <v>1191.9000000000001</v>
      </c>
      <c r="V11" s="39">
        <v>1184.9000000000001</v>
      </c>
      <c r="W11" s="9" t="s">
        <v>175</v>
      </c>
      <c r="X11" s="22">
        <f t="shared" si="11"/>
        <v>0</v>
      </c>
      <c r="Y11" s="36">
        <f t="shared" si="4"/>
        <v>-17920.000000000025</v>
      </c>
      <c r="Z11" s="22">
        <v>1</v>
      </c>
      <c r="AA11" s="22">
        <v>10000</v>
      </c>
      <c r="AB11" s="37">
        <v>40819</v>
      </c>
      <c r="AC11" s="40">
        <v>4.327</v>
      </c>
      <c r="AD11" s="39">
        <v>4.1079999999999997</v>
      </c>
      <c r="AE11" s="8" t="s">
        <v>171</v>
      </c>
      <c r="AF11" s="22">
        <f>50*(75+75)*IF(ISBLANK(AJ12),1,0)*IF(ISBLANK(AE11),0,1)</f>
        <v>0</v>
      </c>
      <c r="AG11" s="22">
        <f t="shared" si="6"/>
        <v>16799.999999999531</v>
      </c>
      <c r="AH11" s="22">
        <v>1</v>
      </c>
      <c r="AI11" s="22">
        <v>125000</v>
      </c>
      <c r="AJ11" s="29" t="s">
        <v>64</v>
      </c>
      <c r="AK11" s="68">
        <v>1.3218000000000001</v>
      </c>
      <c r="AL11" s="69">
        <v>1.3731</v>
      </c>
      <c r="AM11" s="68">
        <v>1.3232999999999999</v>
      </c>
      <c r="AN11" s="69">
        <v>1.3718999999999999</v>
      </c>
      <c r="AO11" s="8" t="s">
        <v>102</v>
      </c>
      <c r="AP11" s="22">
        <f t="shared" si="12"/>
        <v>0</v>
      </c>
      <c r="AQ11" s="22">
        <f t="shared" si="7"/>
        <v>10550.000000000218</v>
      </c>
      <c r="AR11" s="22">
        <v>-1</v>
      </c>
      <c r="AS11" s="22">
        <v>25000</v>
      </c>
      <c r="AT11" s="71">
        <v>40833</v>
      </c>
      <c r="AU11" s="72">
        <v>3.1505000000000001</v>
      </c>
      <c r="AV11" s="75">
        <v>3.3645</v>
      </c>
      <c r="AW11" s="74">
        <v>3.1555</v>
      </c>
      <c r="AX11" s="73">
        <v>3.3780000000000001</v>
      </c>
      <c r="AY11" s="85" t="s">
        <v>193</v>
      </c>
      <c r="AZ11" s="26">
        <f t="shared" si="13"/>
        <v>0</v>
      </c>
      <c r="BA11" s="24">
        <f>-62375-50500+50000</f>
        <v>-62875</v>
      </c>
      <c r="BB11" s="3">
        <v>-1</v>
      </c>
      <c r="BC11" s="3">
        <v>250</v>
      </c>
      <c r="BD11" s="9" t="s">
        <v>180</v>
      </c>
      <c r="BE11" s="3">
        <v>53.25</v>
      </c>
      <c r="BF11" s="3">
        <v>53.5</v>
      </c>
      <c r="BG11" s="7">
        <v>63.35</v>
      </c>
      <c r="BH11" s="3">
        <v>61.15</v>
      </c>
      <c r="BI11" s="88" t="s">
        <v>194</v>
      </c>
      <c r="BJ11" s="83">
        <f t="shared" si="14"/>
        <v>0</v>
      </c>
      <c r="BK11" s="25">
        <f t="shared" si="8"/>
        <v>628409.99999999895</v>
      </c>
      <c r="BL11" s="61">
        <v>1</v>
      </c>
      <c r="BM11" s="25">
        <v>1000</v>
      </c>
      <c r="BN11" s="25" t="s">
        <v>180</v>
      </c>
      <c r="BO11" s="25">
        <v>86.62</v>
      </c>
      <c r="BP11" s="61">
        <v>97.41</v>
      </c>
      <c r="BQ11" s="25">
        <v>93.32</v>
      </c>
      <c r="BR11" s="61">
        <v>92.4</v>
      </c>
      <c r="BS11" s="3" t="s">
        <v>189</v>
      </c>
      <c r="BT11" s="24">
        <f t="shared" si="15"/>
        <v>0</v>
      </c>
      <c r="BU11" s="24">
        <f t="shared" si="16"/>
        <v>-234750</v>
      </c>
      <c r="BV11" s="3">
        <v>1</v>
      </c>
      <c r="BW11" s="3">
        <v>250</v>
      </c>
      <c r="BX11" s="9"/>
      <c r="BY11" s="3">
        <v>37.4</v>
      </c>
      <c r="BZ11" s="3"/>
      <c r="CA11" s="25" t="s">
        <v>188</v>
      </c>
      <c r="CB11" s="24">
        <f t="shared" si="17"/>
        <v>0</v>
      </c>
      <c r="CC11" s="25">
        <f t="shared" si="18"/>
        <v>-82200</v>
      </c>
      <c r="CD11" s="61">
        <v>1</v>
      </c>
      <c r="CE11" s="25">
        <v>1000</v>
      </c>
      <c r="CG11" s="25">
        <v>2.5499999999999998</v>
      </c>
      <c r="CH11" s="25">
        <v>5.63</v>
      </c>
    </row>
    <row r="12" spans="1:87" s="61" customFormat="1" x14ac:dyDescent="0.2">
      <c r="A12" s="91">
        <v>40875</v>
      </c>
      <c r="B12" s="108" t="s">
        <v>0</v>
      </c>
      <c r="C12" s="108" t="s">
        <v>1</v>
      </c>
      <c r="D12" s="92">
        <f t="shared" si="0"/>
        <v>1480224.9999999986</v>
      </c>
      <c r="E12" s="9">
        <f t="shared" si="9"/>
        <v>25000</v>
      </c>
      <c r="F12" s="9">
        <f t="shared" si="10"/>
        <v>505224.9999999986</v>
      </c>
      <c r="G12" s="9" t="s">
        <v>172</v>
      </c>
      <c r="H12" s="9">
        <f>4*1800*IF(ISBLANK(L12),1,0)</f>
        <v>0</v>
      </c>
      <c r="I12" s="9">
        <f t="shared" si="1"/>
        <v>-22239.999999999971</v>
      </c>
      <c r="J12" s="9">
        <v>1</v>
      </c>
      <c r="K12" s="9">
        <v>100000</v>
      </c>
      <c r="L12" s="93">
        <v>40819</v>
      </c>
      <c r="M12" s="9">
        <v>1.0043</v>
      </c>
      <c r="N12" s="9">
        <v>0.94920000000000004</v>
      </c>
      <c r="O12" s="9" t="s">
        <v>89</v>
      </c>
      <c r="P12" s="9">
        <f t="shared" si="2"/>
        <v>0</v>
      </c>
      <c r="Q12" s="9">
        <f t="shared" si="3"/>
        <v>1950.0000000000682</v>
      </c>
      <c r="R12" s="9">
        <v>-1</v>
      </c>
      <c r="S12" s="9">
        <v>250</v>
      </c>
      <c r="T12" s="94" t="s">
        <v>65</v>
      </c>
      <c r="U12" s="95">
        <v>1191.9000000000001</v>
      </c>
      <c r="V12" s="95">
        <v>1187.8</v>
      </c>
      <c r="W12" s="9" t="s">
        <v>175</v>
      </c>
      <c r="X12" s="9">
        <f t="shared" si="11"/>
        <v>0</v>
      </c>
      <c r="Y12" s="96">
        <f t="shared" si="4"/>
        <v>-17920.000000000025</v>
      </c>
      <c r="Z12" s="9">
        <v>1</v>
      </c>
      <c r="AA12" s="9">
        <v>10000</v>
      </c>
      <c r="AB12" s="110">
        <v>40819</v>
      </c>
      <c r="AC12" s="97">
        <v>4.327</v>
      </c>
      <c r="AD12" s="95">
        <v>4.1079999999999997</v>
      </c>
      <c r="AE12" s="9" t="s">
        <v>171</v>
      </c>
      <c r="AF12" s="9">
        <f>50*(75+75)*IF(ISBLANK(#REF!),1,0)*IF(ISBLANK(AE12),0,1)</f>
        <v>0</v>
      </c>
      <c r="AG12" s="9">
        <f t="shared" si="6"/>
        <v>16799.999999999531</v>
      </c>
      <c r="AH12" s="9">
        <v>1</v>
      </c>
      <c r="AI12" s="9">
        <v>125000</v>
      </c>
      <c r="AJ12" s="93" t="s">
        <v>127</v>
      </c>
      <c r="AK12" s="95">
        <v>1.3218000000000001</v>
      </c>
      <c r="AL12" s="95">
        <v>1.3731</v>
      </c>
      <c r="AM12" s="95">
        <v>1.3232999999999999</v>
      </c>
      <c r="AN12" s="95">
        <v>1.3718999999999999</v>
      </c>
      <c r="AO12" s="9" t="s">
        <v>102</v>
      </c>
      <c r="AP12" s="9">
        <f t="shared" si="12"/>
        <v>0</v>
      </c>
      <c r="AQ12" s="9">
        <f t="shared" si="7"/>
        <v>278050.00000000017</v>
      </c>
      <c r="AR12" s="9">
        <v>-1</v>
      </c>
      <c r="AS12" s="9">
        <v>25000</v>
      </c>
      <c r="AT12" s="106">
        <v>40834</v>
      </c>
      <c r="AU12" s="95">
        <v>3.1505000000000001</v>
      </c>
      <c r="AV12" s="95">
        <v>3.1505000000000001</v>
      </c>
      <c r="AW12" s="9">
        <v>3.1555</v>
      </c>
      <c r="AX12" s="9">
        <v>3.3780000000000001</v>
      </c>
      <c r="AY12" s="7" t="s">
        <v>140</v>
      </c>
      <c r="AZ12" s="101">
        <f t="shared" si="13"/>
        <v>0</v>
      </c>
      <c r="BA12" s="102">
        <f>-500+BB12*(118*(BF12-BE12)-((BH12-BG12)*100))*BC12</f>
        <v>-62875.000000000073</v>
      </c>
      <c r="BB12" s="7">
        <v>-1</v>
      </c>
      <c r="BC12" s="7">
        <v>250</v>
      </c>
      <c r="BD12" s="9" t="s">
        <v>180</v>
      </c>
      <c r="BE12" s="7">
        <v>53.25</v>
      </c>
      <c r="BF12" s="7">
        <v>53.5</v>
      </c>
      <c r="BG12" s="7">
        <v>63.35</v>
      </c>
      <c r="BH12" s="7">
        <v>61.15</v>
      </c>
      <c r="BI12" s="61" t="s">
        <v>160</v>
      </c>
      <c r="BJ12" s="103">
        <f t="shared" si="14"/>
        <v>25000</v>
      </c>
      <c r="BK12" s="61">
        <f t="shared" si="8"/>
        <v>628409.99999999895</v>
      </c>
      <c r="BL12" s="61">
        <v>1</v>
      </c>
      <c r="BM12" s="61">
        <v>1000</v>
      </c>
      <c r="BO12" s="61">
        <v>86.62</v>
      </c>
      <c r="BP12" s="61">
        <v>97.41</v>
      </c>
      <c r="BQ12" s="61">
        <v>93.32</v>
      </c>
      <c r="BR12" s="61">
        <v>92.4</v>
      </c>
      <c r="BS12" s="7" t="s">
        <v>189</v>
      </c>
      <c r="BT12" s="102">
        <f t="shared" si="15"/>
        <v>0</v>
      </c>
      <c r="BU12" s="102">
        <f t="shared" si="16"/>
        <v>-234750</v>
      </c>
      <c r="BV12" s="7">
        <v>1</v>
      </c>
      <c r="BW12" s="7">
        <v>250</v>
      </c>
      <c r="BX12" s="7"/>
      <c r="BY12" s="7">
        <v>37.4</v>
      </c>
      <c r="BZ12" s="7"/>
      <c r="CA12" s="61" t="s">
        <v>188</v>
      </c>
      <c r="CB12" s="102">
        <f t="shared" si="17"/>
        <v>0</v>
      </c>
      <c r="CC12" s="61">
        <f t="shared" si="18"/>
        <v>-82200</v>
      </c>
      <c r="CD12" s="61">
        <v>1</v>
      </c>
      <c r="CE12" s="61">
        <v>1000</v>
      </c>
      <c r="CG12" s="61">
        <v>2.5499999999999998</v>
      </c>
      <c r="CH12" s="61">
        <v>5.63</v>
      </c>
    </row>
    <row r="13" spans="1:87" s="61" customFormat="1" x14ac:dyDescent="0.2">
      <c r="A13" s="91">
        <v>40875</v>
      </c>
      <c r="B13" s="9" t="s">
        <v>2</v>
      </c>
      <c r="C13" s="9" t="s">
        <v>3</v>
      </c>
      <c r="D13" s="92">
        <f>1000000-E13+F13</f>
        <v>1134905</v>
      </c>
      <c r="E13" s="9">
        <f>H13+P13+X13+AF13+AP13+AZ13+BJ13+BT13+CB13</f>
        <v>40000</v>
      </c>
      <c r="F13" s="9">
        <f t="shared" si="10"/>
        <v>174904.99999999994</v>
      </c>
      <c r="G13" s="9" t="s">
        <v>130</v>
      </c>
      <c r="H13" s="9">
        <f>4*2600*IF(ISBLANK(L13),1,0)</f>
        <v>0</v>
      </c>
      <c r="I13" s="9">
        <f t="shared" si="1"/>
        <v>-23000.000000000022</v>
      </c>
      <c r="J13" s="9">
        <v>1</v>
      </c>
      <c r="K13" s="9">
        <v>100000</v>
      </c>
      <c r="L13" s="93">
        <v>40819</v>
      </c>
      <c r="M13" s="9">
        <v>0.98240000000000005</v>
      </c>
      <c r="N13" s="9">
        <v>0.9254</v>
      </c>
      <c r="O13" s="9" t="s">
        <v>89</v>
      </c>
      <c r="P13" s="9">
        <f t="shared" si="2"/>
        <v>40000</v>
      </c>
      <c r="Q13" s="9">
        <f t="shared" si="3"/>
        <v>55950.000000000065</v>
      </c>
      <c r="R13" s="9">
        <v>-1</v>
      </c>
      <c r="S13" s="9">
        <v>250</v>
      </c>
      <c r="T13" s="94"/>
      <c r="U13" s="95">
        <v>1191.9000000000001</v>
      </c>
      <c r="V13" s="95">
        <v>1079.8</v>
      </c>
      <c r="W13" s="9" t="s">
        <v>178</v>
      </c>
      <c r="X13" s="9">
        <f>8*6000*IF(ISBLANK(AB13),1,0)</f>
        <v>0</v>
      </c>
      <c r="Y13" s="96">
        <f t="shared" si="4"/>
        <v>-66480.000000000044</v>
      </c>
      <c r="Z13" s="9">
        <v>1</v>
      </c>
      <c r="AA13" s="9">
        <v>1000</v>
      </c>
      <c r="AB13" s="94" t="s">
        <v>212</v>
      </c>
      <c r="AC13" s="97">
        <v>86.51</v>
      </c>
      <c r="AD13" s="95">
        <v>78.25</v>
      </c>
      <c r="AE13" s="9" t="s">
        <v>111</v>
      </c>
      <c r="AF13" s="9">
        <f>50*(250+250)*IF(ISBLANK(AJ13),1,0)*IF(ISBLANK(AE13),0,1)</f>
        <v>0</v>
      </c>
      <c r="AG13" s="9">
        <f t="shared" si="6"/>
        <v>-40074.999999998923</v>
      </c>
      <c r="AH13" s="9">
        <v>1</v>
      </c>
      <c r="AI13" s="9">
        <v>200000</v>
      </c>
      <c r="AJ13" s="9" t="s">
        <v>204</v>
      </c>
      <c r="AK13" s="95">
        <v>0.98939999999999995</v>
      </c>
      <c r="AL13" s="98">
        <v>1.01</v>
      </c>
      <c r="AM13" s="95">
        <v>0.96160000000000001</v>
      </c>
      <c r="AN13" s="95">
        <v>0.98619999999999997</v>
      </c>
      <c r="AO13" s="9" t="s">
        <v>113</v>
      </c>
      <c r="AP13" s="9">
        <f t="shared" si="12"/>
        <v>0</v>
      </c>
      <c r="AQ13" s="9">
        <f t="shared" si="7"/>
        <v>-75</v>
      </c>
      <c r="AR13" s="9">
        <v>1</v>
      </c>
      <c r="AS13" s="9">
        <v>100000</v>
      </c>
      <c r="AT13" s="99" t="s">
        <v>180</v>
      </c>
      <c r="AU13" s="95">
        <v>130.328</v>
      </c>
      <c r="AV13" s="100">
        <v>130</v>
      </c>
      <c r="AW13" s="95">
        <v>127.328</v>
      </c>
      <c r="AX13" s="100">
        <v>127</v>
      </c>
      <c r="AY13" s="7" t="s">
        <v>140</v>
      </c>
      <c r="AZ13" s="101">
        <f t="shared" si="13"/>
        <v>0</v>
      </c>
      <c r="BA13" s="102">
        <f t="shared" ref="BA13:BA37" si="19">-500+BB13*(118*(BF13-BE13)-((BH13-BG13)*100))*BC13</f>
        <v>-62875.000000000073</v>
      </c>
      <c r="BB13" s="7">
        <v>-1</v>
      </c>
      <c r="BC13" s="7">
        <v>250</v>
      </c>
      <c r="BD13" s="9" t="s">
        <v>180</v>
      </c>
      <c r="BE13" s="7">
        <v>53.25</v>
      </c>
      <c r="BF13" s="7">
        <v>53.5</v>
      </c>
      <c r="BG13" s="7">
        <v>63.35</v>
      </c>
      <c r="BH13" s="7">
        <v>61.15</v>
      </c>
      <c r="BI13" s="61" t="s">
        <v>160</v>
      </c>
      <c r="BJ13" s="103">
        <f t="shared" si="14"/>
        <v>0</v>
      </c>
      <c r="BK13" s="61">
        <f t="shared" si="8"/>
        <v>628409.99999999895</v>
      </c>
      <c r="BL13" s="61">
        <v>1</v>
      </c>
      <c r="BM13" s="61">
        <v>1000</v>
      </c>
      <c r="BN13" s="61" t="s">
        <v>180</v>
      </c>
      <c r="BO13" s="61">
        <v>86.62</v>
      </c>
      <c r="BP13" s="61">
        <v>97.41</v>
      </c>
      <c r="BQ13" s="61">
        <v>93.32</v>
      </c>
      <c r="BR13" s="61">
        <v>92.4</v>
      </c>
      <c r="BS13" s="7" t="s">
        <v>189</v>
      </c>
      <c r="BT13" s="102">
        <f t="shared" si="15"/>
        <v>0</v>
      </c>
      <c r="BU13" s="102">
        <f t="shared" si="16"/>
        <v>-234750</v>
      </c>
      <c r="BV13" s="7">
        <v>1</v>
      </c>
      <c r="BW13" s="7">
        <v>250</v>
      </c>
      <c r="BX13" s="9"/>
      <c r="BY13" s="7">
        <v>37.4</v>
      </c>
      <c r="BZ13" s="7"/>
      <c r="CA13" s="61" t="s">
        <v>188</v>
      </c>
      <c r="CB13" s="102">
        <f t="shared" si="17"/>
        <v>0</v>
      </c>
      <c r="CC13" s="61">
        <f t="shared" si="18"/>
        <v>-82200</v>
      </c>
      <c r="CD13" s="61">
        <v>1</v>
      </c>
      <c r="CE13" s="61">
        <v>1000</v>
      </c>
      <c r="CG13" s="61">
        <v>2.5499999999999998</v>
      </c>
      <c r="CH13" s="61">
        <v>5.63</v>
      </c>
    </row>
    <row r="14" spans="1:87" s="25" customFormat="1" x14ac:dyDescent="0.2">
      <c r="A14" s="80">
        <v>40868</v>
      </c>
      <c r="B14" s="8" t="s">
        <v>4</v>
      </c>
      <c r="C14" s="8" t="s">
        <v>5</v>
      </c>
      <c r="D14" s="57">
        <f t="shared" si="0"/>
        <v>1395645.0000000005</v>
      </c>
      <c r="E14" s="44">
        <f t="shared" si="9"/>
        <v>0</v>
      </c>
      <c r="F14" s="44">
        <f t="shared" si="10"/>
        <v>395645.00000000035</v>
      </c>
      <c r="G14" s="84" t="s">
        <v>210</v>
      </c>
      <c r="H14" s="22">
        <f>4*1800*IF(ISBLANK(L14),1,0)</f>
        <v>0</v>
      </c>
      <c r="I14" s="22">
        <f t="shared" si="1"/>
        <v>11080.000000000002</v>
      </c>
      <c r="J14" s="22">
        <v>-1</v>
      </c>
      <c r="K14" s="22">
        <v>100000</v>
      </c>
      <c r="L14" s="29">
        <v>40833</v>
      </c>
      <c r="M14" s="22">
        <v>0.97740000000000005</v>
      </c>
      <c r="N14" s="35">
        <v>0.94920000000000004</v>
      </c>
      <c r="O14" s="84" t="s">
        <v>174</v>
      </c>
      <c r="P14" s="22">
        <f t="shared" si="2"/>
        <v>0</v>
      </c>
      <c r="Q14" s="22">
        <f t="shared" si="3"/>
        <v>55950.000000000065</v>
      </c>
      <c r="R14" s="22">
        <v>-1</v>
      </c>
      <c r="S14" s="22">
        <v>250</v>
      </c>
      <c r="T14" s="37">
        <v>40819</v>
      </c>
      <c r="U14" s="38">
        <v>1191.9000000000001</v>
      </c>
      <c r="V14" s="39">
        <v>1079.8</v>
      </c>
      <c r="W14" s="84" t="s">
        <v>115</v>
      </c>
      <c r="X14" s="22">
        <f>8*6000*IF(ISBLANK(AB14),1,0)</f>
        <v>0</v>
      </c>
      <c r="Y14" s="60">
        <f>8*(-50+AA14*((AD14-AC14)*Z14))*IF(W14="N/A",0,1)</f>
        <v>65680.000000000044</v>
      </c>
      <c r="Z14" s="22">
        <v>-1</v>
      </c>
      <c r="AA14" s="22">
        <v>1000</v>
      </c>
      <c r="AB14" s="37">
        <v>40819</v>
      </c>
      <c r="AC14" s="40">
        <v>86.51</v>
      </c>
      <c r="AD14" s="39">
        <v>78.25</v>
      </c>
      <c r="AE14" s="84" t="s">
        <v>209</v>
      </c>
      <c r="AF14" s="22">
        <f t="shared" ref="AF14:AF34" si="20">50*(75+75)*IF(ISBLANK(AJ14),1,0)*IF(ISBLANK(AE14),0,1)</f>
        <v>0</v>
      </c>
      <c r="AG14" s="22">
        <f t="shared" si="6"/>
        <v>2425.0000000008349</v>
      </c>
      <c r="AH14" s="22">
        <v>1</v>
      </c>
      <c r="AI14" s="22">
        <v>100000</v>
      </c>
      <c r="AJ14" s="22" t="s">
        <v>64</v>
      </c>
      <c r="AK14" s="38">
        <v>0.94979999999999998</v>
      </c>
      <c r="AL14" s="39">
        <v>0.97740000000000005</v>
      </c>
      <c r="AM14" s="38">
        <v>0.94920000000000004</v>
      </c>
      <c r="AN14" s="39">
        <v>0.97629999999999995</v>
      </c>
      <c r="AO14" s="84" t="s">
        <v>208</v>
      </c>
      <c r="AP14" s="22">
        <f>50*(175+175)*IF(ISBLANK(AT14),1,0)</f>
        <v>0</v>
      </c>
      <c r="AQ14" s="22">
        <f t="shared" si="7"/>
        <v>11925.000000000455</v>
      </c>
      <c r="AR14" s="22">
        <v>-1</v>
      </c>
      <c r="AS14" s="22">
        <v>5000</v>
      </c>
      <c r="AT14" s="70">
        <v>40833</v>
      </c>
      <c r="AU14" s="22">
        <v>30.795000000000002</v>
      </c>
      <c r="AV14" s="35">
        <v>31.82</v>
      </c>
      <c r="AW14" s="22">
        <v>30.817</v>
      </c>
      <c r="AX14" s="35">
        <v>31.89</v>
      </c>
      <c r="AY14" s="85" t="s">
        <v>193</v>
      </c>
      <c r="AZ14" s="26">
        <f t="shared" si="13"/>
        <v>0</v>
      </c>
      <c r="BA14" s="24">
        <f t="shared" si="19"/>
        <v>-62875.000000000073</v>
      </c>
      <c r="BB14" s="3">
        <v>-1</v>
      </c>
      <c r="BC14" s="3">
        <v>250</v>
      </c>
      <c r="BD14" s="3" t="s">
        <v>180</v>
      </c>
      <c r="BE14" s="3">
        <v>53.25</v>
      </c>
      <c r="BF14" s="3">
        <v>53.5</v>
      </c>
      <c r="BG14" s="7">
        <v>63.35</v>
      </c>
      <c r="BH14" s="7">
        <v>61.15</v>
      </c>
      <c r="BI14" s="88" t="s">
        <v>194</v>
      </c>
      <c r="BJ14" s="83">
        <f t="shared" si="14"/>
        <v>0</v>
      </c>
      <c r="BK14" s="25">
        <f t="shared" ref="BK14:BK33" si="21">-250+BL14*(54*(BP14-BO14)-((BR14-BQ14)*50))*1000</f>
        <v>628409.99999999895</v>
      </c>
      <c r="BL14" s="61">
        <v>1</v>
      </c>
      <c r="BM14" s="25">
        <v>1000</v>
      </c>
      <c r="BN14" s="25" t="s">
        <v>180</v>
      </c>
      <c r="BO14" s="25">
        <v>86.62</v>
      </c>
      <c r="BP14" s="61">
        <v>97.41</v>
      </c>
      <c r="BQ14" s="25">
        <v>93.32</v>
      </c>
      <c r="BR14" s="61">
        <v>92.4</v>
      </c>
      <c r="BS14" s="3" t="s">
        <v>189</v>
      </c>
      <c r="BT14" s="24">
        <f t="shared" si="15"/>
        <v>0</v>
      </c>
      <c r="BU14" s="24">
        <f t="shared" si="16"/>
        <v>-234750</v>
      </c>
      <c r="BV14" s="3">
        <v>1</v>
      </c>
      <c r="BW14" s="3">
        <v>250</v>
      </c>
      <c r="BX14" s="3"/>
      <c r="BY14" s="3">
        <v>37.4</v>
      </c>
      <c r="BZ14" s="3"/>
      <c r="CA14" s="25" t="s">
        <v>187</v>
      </c>
      <c r="CB14" s="24">
        <f t="shared" si="17"/>
        <v>0</v>
      </c>
      <c r="CC14" s="25">
        <f t="shared" si="18"/>
        <v>-82200</v>
      </c>
      <c r="CD14" s="61">
        <v>1</v>
      </c>
      <c r="CE14" s="25">
        <v>1000</v>
      </c>
      <c r="CG14" s="61">
        <v>2.5499999999999998</v>
      </c>
      <c r="CH14" s="61">
        <v>5.63</v>
      </c>
    </row>
    <row r="15" spans="1:87" s="25" customFormat="1" x14ac:dyDescent="0.2">
      <c r="A15" s="80">
        <v>40868</v>
      </c>
      <c r="B15" s="62" t="s">
        <v>6</v>
      </c>
      <c r="C15" s="62" t="s">
        <v>7</v>
      </c>
      <c r="D15" s="57">
        <f t="shared" si="0"/>
        <v>66819.999999999302</v>
      </c>
      <c r="E15" s="44">
        <f t="shared" si="9"/>
        <v>177500</v>
      </c>
      <c r="F15" s="44">
        <f t="shared" si="10"/>
        <v>-755680.0000000007</v>
      </c>
      <c r="G15" s="9" t="s">
        <v>133</v>
      </c>
      <c r="H15" s="22">
        <f>4*2000*IF(ISBLANK(L15),1,0)</f>
        <v>8000</v>
      </c>
      <c r="I15" s="22">
        <f t="shared" si="1"/>
        <v>3000.0000000000027</v>
      </c>
      <c r="J15" s="22">
        <v>1</v>
      </c>
      <c r="K15" s="22">
        <v>100000</v>
      </c>
      <c r="L15" s="29"/>
      <c r="M15" s="40">
        <v>1.3461000000000001</v>
      </c>
      <c r="N15" s="39">
        <v>1.3541000000000001</v>
      </c>
      <c r="O15" s="9" t="s">
        <v>89</v>
      </c>
      <c r="P15" s="22">
        <f t="shared" si="2"/>
        <v>40000</v>
      </c>
      <c r="Q15" s="22">
        <f t="shared" si="3"/>
        <v>3400</v>
      </c>
      <c r="R15" s="22">
        <v>-1</v>
      </c>
      <c r="S15" s="22">
        <v>250</v>
      </c>
      <c r="T15" s="33"/>
      <c r="U15" s="38">
        <v>1191.9000000000001</v>
      </c>
      <c r="V15" s="39">
        <v>1184.9000000000001</v>
      </c>
      <c r="W15" s="9" t="s">
        <v>134</v>
      </c>
      <c r="X15" s="22">
        <f>8*2750*IF(ISBLANK(AB15),1,0)</f>
        <v>22000</v>
      </c>
      <c r="Y15" s="60">
        <f>8*(-50+AA15*(AD15-AC15))*IF(W15="N/A",0,1)*Z15</f>
        <v>74640</v>
      </c>
      <c r="Z15" s="22">
        <v>-1</v>
      </c>
      <c r="AA15" s="22">
        <v>10000</v>
      </c>
      <c r="AB15" s="33"/>
      <c r="AC15" s="40">
        <v>4.327</v>
      </c>
      <c r="AD15" s="39">
        <v>3.399</v>
      </c>
      <c r="AE15" s="8" t="s">
        <v>77</v>
      </c>
      <c r="AF15" s="22">
        <f t="shared" si="20"/>
        <v>7500</v>
      </c>
      <c r="AG15" s="22">
        <f t="shared" si="6"/>
        <v>-15700.000000001055</v>
      </c>
      <c r="AH15" s="22">
        <v>1</v>
      </c>
      <c r="AI15" s="22">
        <v>125000</v>
      </c>
      <c r="AJ15" s="22"/>
      <c r="AK15" s="38">
        <v>1.3218000000000001</v>
      </c>
      <c r="AL15" s="39">
        <v>1.3512</v>
      </c>
      <c r="AM15" s="38">
        <v>1.3229</v>
      </c>
      <c r="AN15" s="39">
        <v>1.3548</v>
      </c>
      <c r="AO15" s="8" t="s">
        <v>99</v>
      </c>
      <c r="AP15" s="22">
        <f>50*(175+175)*IF(ISBLANK(AT15),1,0)</f>
        <v>17500</v>
      </c>
      <c r="AQ15" s="22">
        <f t="shared" si="7"/>
        <v>81675.000000000437</v>
      </c>
      <c r="AR15" s="22">
        <v>-1</v>
      </c>
      <c r="AS15" s="22">
        <v>5000</v>
      </c>
      <c r="AT15" s="70"/>
      <c r="AU15" s="22">
        <v>30.75</v>
      </c>
      <c r="AV15" s="35">
        <v>30.75</v>
      </c>
      <c r="AW15" s="22">
        <v>30.812999999999999</v>
      </c>
      <c r="AX15" s="35">
        <v>31.14</v>
      </c>
      <c r="AY15" s="8" t="s">
        <v>161</v>
      </c>
      <c r="AZ15" s="26">
        <f>57500*IF(ISBLANK(BD15),1,0)</f>
        <v>57500</v>
      </c>
      <c r="BA15" s="24">
        <f>-500+BB15*(51*(BF15-BE15)-((BH15-BG15)*50))*BC15</f>
        <v>-8124.9999999997926</v>
      </c>
      <c r="BB15" s="3">
        <v>-1</v>
      </c>
      <c r="BC15" s="3">
        <v>25000</v>
      </c>
      <c r="BD15" s="3"/>
      <c r="BE15" s="3">
        <v>3.3730000000000002</v>
      </c>
      <c r="BF15" s="3">
        <v>3.3029999999999999</v>
      </c>
      <c r="BG15" s="7">
        <v>3.43</v>
      </c>
      <c r="BH15" s="3">
        <v>3.3525</v>
      </c>
      <c r="BI15" s="61" t="s">
        <v>181</v>
      </c>
      <c r="BJ15" s="83">
        <f t="shared" si="14"/>
        <v>25000</v>
      </c>
      <c r="BK15" s="25">
        <f>-250+BL15*(53*(BP15-BO15)-((BR15-BQ15)*50))*1000</f>
        <v>-577620.00000000023</v>
      </c>
      <c r="BL15" s="61">
        <v>-1</v>
      </c>
      <c r="BM15" s="61">
        <v>1000</v>
      </c>
      <c r="BO15" s="25">
        <v>86.62</v>
      </c>
      <c r="BP15" s="61">
        <v>97.41</v>
      </c>
      <c r="BQ15" s="25">
        <v>90.93</v>
      </c>
      <c r="BR15" s="61">
        <v>90.82</v>
      </c>
      <c r="BS15" s="3" t="s">
        <v>189</v>
      </c>
      <c r="BT15" s="24">
        <f t="shared" si="15"/>
        <v>0</v>
      </c>
      <c r="BU15" s="24">
        <f t="shared" si="16"/>
        <v>-234750</v>
      </c>
      <c r="BV15" s="3">
        <v>1</v>
      </c>
      <c r="BW15" s="3">
        <v>250</v>
      </c>
      <c r="BX15" s="3"/>
      <c r="BY15" s="3">
        <v>37.4</v>
      </c>
      <c r="BZ15" s="3"/>
      <c r="CA15" s="25" t="s">
        <v>188</v>
      </c>
      <c r="CB15" s="24">
        <f t="shared" si="17"/>
        <v>0</v>
      </c>
      <c r="CC15" s="25">
        <f t="shared" si="18"/>
        <v>-82200</v>
      </c>
      <c r="CD15" s="61">
        <v>1</v>
      </c>
      <c r="CE15" s="25">
        <v>1000</v>
      </c>
      <c r="CG15" s="25">
        <v>2.5499999999999998</v>
      </c>
      <c r="CH15" s="61">
        <v>5.63</v>
      </c>
    </row>
    <row r="16" spans="1:87" s="25" customFormat="1" x14ac:dyDescent="0.2">
      <c r="A16" s="80">
        <v>40868</v>
      </c>
      <c r="B16" s="8" t="s">
        <v>9</v>
      </c>
      <c r="C16" s="8" t="s">
        <v>10</v>
      </c>
      <c r="D16" s="57">
        <f t="shared" si="0"/>
        <v>1051669.9999999972</v>
      </c>
      <c r="E16" s="44">
        <f>H16+P16+X16+AF16+AP16+AZ16+BJ16+BT16+CB16</f>
        <v>133450</v>
      </c>
      <c r="F16" s="44">
        <f t="shared" si="10"/>
        <v>185119.99999999709</v>
      </c>
      <c r="G16" s="9" t="s">
        <v>88</v>
      </c>
      <c r="H16" s="22">
        <f>4*1800*IF(ISBLANK(L16),1,0)</f>
        <v>7200</v>
      </c>
      <c r="I16" s="22">
        <f t="shared" si="1"/>
        <v>-16919.999999999978</v>
      </c>
      <c r="J16" s="22">
        <v>1</v>
      </c>
      <c r="K16" s="22">
        <v>100000</v>
      </c>
      <c r="L16" s="29"/>
      <c r="M16" s="22">
        <v>1.0043</v>
      </c>
      <c r="N16" s="35">
        <v>0.96250000000000002</v>
      </c>
      <c r="O16" s="9" t="s">
        <v>89</v>
      </c>
      <c r="P16" s="22">
        <f t="shared" si="2"/>
        <v>40000</v>
      </c>
      <c r="Q16" s="22">
        <f t="shared" si="3"/>
        <v>3400</v>
      </c>
      <c r="R16" s="22">
        <v>-1</v>
      </c>
      <c r="S16" s="22">
        <v>250</v>
      </c>
      <c r="T16" s="33"/>
      <c r="U16" s="38">
        <v>1191.9000000000001</v>
      </c>
      <c r="V16" s="39">
        <v>1184.9000000000001</v>
      </c>
      <c r="W16" s="9" t="s">
        <v>175</v>
      </c>
      <c r="X16" s="22">
        <f>8*2750*IF(ISBLANK(AB16),1,0)</f>
        <v>0</v>
      </c>
      <c r="Y16" s="65">
        <f>8*(-50+AA16*(AD16-AC16))*IF(W16="N/A",0,1)</f>
        <v>-17920.000000000025</v>
      </c>
      <c r="Z16" s="22">
        <v>1</v>
      </c>
      <c r="AA16" s="22">
        <v>10000</v>
      </c>
      <c r="AB16" s="37">
        <v>40819</v>
      </c>
      <c r="AC16" s="40">
        <v>4.327</v>
      </c>
      <c r="AD16" s="39">
        <v>4.1079999999999997</v>
      </c>
      <c r="AE16" s="8" t="s">
        <v>171</v>
      </c>
      <c r="AF16" s="22">
        <f t="shared" si="20"/>
        <v>7500</v>
      </c>
      <c r="AG16" s="22">
        <f t="shared" si="6"/>
        <v>-20700.000000001892</v>
      </c>
      <c r="AH16" s="22">
        <v>1</v>
      </c>
      <c r="AI16" s="22">
        <v>125000</v>
      </c>
      <c r="AJ16" s="22"/>
      <c r="AK16" s="38">
        <v>1.3218000000000001</v>
      </c>
      <c r="AL16" s="39">
        <v>1.3512</v>
      </c>
      <c r="AM16" s="38">
        <v>1.3232999999999999</v>
      </c>
      <c r="AN16" s="39">
        <v>1.3560000000000001</v>
      </c>
      <c r="AO16" s="8" t="s">
        <v>102</v>
      </c>
      <c r="AP16" s="22">
        <f t="shared" ref="AP16:AP34" si="22">50*(37.5+37.5)*IF(ISBLANK(AT16),1,0)</f>
        <v>3750</v>
      </c>
      <c r="AQ16" s="22">
        <f t="shared" si="7"/>
        <v>-11324.999999999871</v>
      </c>
      <c r="AR16" s="22">
        <v>-1</v>
      </c>
      <c r="AS16" s="22">
        <v>25000</v>
      </c>
      <c r="AT16" s="70"/>
      <c r="AU16" s="38">
        <v>3.1505000000000001</v>
      </c>
      <c r="AV16" s="39">
        <v>3.3029999999999999</v>
      </c>
      <c r="AW16" s="22">
        <v>3.1555</v>
      </c>
      <c r="AX16" s="35">
        <v>3.2989999999999999</v>
      </c>
      <c r="AY16" s="3" t="s">
        <v>140</v>
      </c>
      <c r="AZ16" s="26">
        <f>50000*IF(ISBLANK(BD16),1,0)</f>
        <v>50000</v>
      </c>
      <c r="BA16" s="24">
        <f t="shared" si="19"/>
        <v>-62875.000000000073</v>
      </c>
      <c r="BB16" s="3">
        <v>-1</v>
      </c>
      <c r="BC16" s="3">
        <v>250</v>
      </c>
      <c r="BD16" s="8"/>
      <c r="BE16" s="3">
        <v>53.25</v>
      </c>
      <c r="BF16" s="3">
        <v>53.5</v>
      </c>
      <c r="BG16" s="7">
        <v>63.35</v>
      </c>
      <c r="BH16" s="3">
        <v>61.15</v>
      </c>
      <c r="BI16" t="s">
        <v>159</v>
      </c>
      <c r="BJ16" s="83">
        <f t="shared" si="14"/>
        <v>25000</v>
      </c>
      <c r="BK16" s="25">
        <f t="shared" si="21"/>
        <v>628409.99999999895</v>
      </c>
      <c r="BL16" s="61">
        <v>1</v>
      </c>
      <c r="BM16" s="25">
        <v>1000</v>
      </c>
      <c r="BO16" s="25">
        <v>86.62</v>
      </c>
      <c r="BP16" s="61">
        <v>97.41</v>
      </c>
      <c r="BQ16" s="25">
        <v>93.32</v>
      </c>
      <c r="BR16" s="61">
        <v>92.4</v>
      </c>
      <c r="BS16" s="3" t="s">
        <v>189</v>
      </c>
      <c r="BT16" s="24">
        <f t="shared" si="15"/>
        <v>0</v>
      </c>
      <c r="BU16" s="24">
        <f t="shared" si="16"/>
        <v>-234750</v>
      </c>
      <c r="BV16" s="3">
        <v>1</v>
      </c>
      <c r="BW16" s="3">
        <v>250</v>
      </c>
      <c r="BX16" s="8"/>
      <c r="BY16" s="3">
        <v>37.4</v>
      </c>
      <c r="BZ16" s="3"/>
      <c r="CA16" s="25" t="s">
        <v>188</v>
      </c>
      <c r="CB16" s="24">
        <f>0*IF(ISBLANK(CF16),1,0)</f>
        <v>0</v>
      </c>
      <c r="CC16" s="25">
        <f t="shared" si="18"/>
        <v>-82200</v>
      </c>
      <c r="CD16" s="61">
        <v>1</v>
      </c>
      <c r="CE16" s="25">
        <v>1000</v>
      </c>
      <c r="CG16" s="25">
        <v>2.5499999999999998</v>
      </c>
      <c r="CH16" s="61">
        <v>5.63</v>
      </c>
    </row>
    <row r="17" spans="1:86" s="25" customFormat="1" x14ac:dyDescent="0.2">
      <c r="A17" s="80">
        <v>40868</v>
      </c>
      <c r="B17" s="8" t="s">
        <v>11</v>
      </c>
      <c r="C17" s="8" t="s">
        <v>12</v>
      </c>
      <c r="D17" s="57">
        <f t="shared" si="0"/>
        <v>1448599.9999999979</v>
      </c>
      <c r="E17" s="44">
        <f t="shared" si="9"/>
        <v>70100</v>
      </c>
      <c r="F17" s="44">
        <f t="shared" si="10"/>
        <v>518699.99999999796</v>
      </c>
      <c r="G17" s="9" t="s">
        <v>131</v>
      </c>
      <c r="H17" s="22">
        <f>4*4000*IF(ISBLANK(L17),1,0)</f>
        <v>0</v>
      </c>
      <c r="I17" s="22">
        <f t="shared" si="1"/>
        <v>-22149.999999999913</v>
      </c>
      <c r="J17" s="22">
        <v>1</v>
      </c>
      <c r="K17" s="22">
        <v>125000</v>
      </c>
      <c r="L17" s="29">
        <v>40819</v>
      </c>
      <c r="M17" s="22">
        <v>1.3655999999999999</v>
      </c>
      <c r="N17" s="35">
        <v>1.3217000000000001</v>
      </c>
      <c r="O17" s="9" t="s">
        <v>93</v>
      </c>
      <c r="P17" s="22">
        <f t="shared" si="2"/>
        <v>40000</v>
      </c>
      <c r="Q17" s="22">
        <f t="shared" si="3"/>
        <v>-47150.000000000065</v>
      </c>
      <c r="R17" s="22">
        <v>1</v>
      </c>
      <c r="S17" s="22">
        <v>250</v>
      </c>
      <c r="T17" s="33"/>
      <c r="U17" s="38">
        <v>1191.9000000000001</v>
      </c>
      <c r="V17" s="39">
        <v>1097.8</v>
      </c>
      <c r="W17" s="9" t="s">
        <v>69</v>
      </c>
      <c r="X17" s="22">
        <f>2*50</f>
        <v>100</v>
      </c>
      <c r="Y17" s="36">
        <f>8*(-50+AA17*(AD17-AC17))*IF(W17="N/A",0,1)</f>
        <v>-88400</v>
      </c>
      <c r="Z17" s="22">
        <v>1</v>
      </c>
      <c r="AA17" s="22">
        <v>1000</v>
      </c>
      <c r="AB17" s="33"/>
      <c r="AC17" s="40">
        <v>122.13</v>
      </c>
      <c r="AD17" s="39">
        <v>111.13</v>
      </c>
      <c r="AE17" s="8" t="s">
        <v>171</v>
      </c>
      <c r="AF17" s="22">
        <f t="shared" si="20"/>
        <v>0</v>
      </c>
      <c r="AG17" s="22">
        <f t="shared" si="6"/>
        <v>16799.999999999531</v>
      </c>
      <c r="AH17" s="22">
        <v>1</v>
      </c>
      <c r="AI17" s="22">
        <v>125000</v>
      </c>
      <c r="AJ17" s="22" t="s">
        <v>127</v>
      </c>
      <c r="AK17" s="68">
        <v>1.3218000000000001</v>
      </c>
      <c r="AL17" s="69">
        <v>1.3731</v>
      </c>
      <c r="AM17" s="68">
        <v>1.3232999999999999</v>
      </c>
      <c r="AN17" s="69">
        <v>1.3718999999999999</v>
      </c>
      <c r="AO17" s="8" t="s">
        <v>114</v>
      </c>
      <c r="AP17" s="22">
        <f t="shared" si="22"/>
        <v>0</v>
      </c>
      <c r="AQ17" s="22">
        <f t="shared" si="7"/>
        <v>23049.999999999953</v>
      </c>
      <c r="AR17" s="22">
        <v>1</v>
      </c>
      <c r="AS17" s="22">
        <v>25000</v>
      </c>
      <c r="AT17" s="71">
        <v>40833</v>
      </c>
      <c r="AU17" s="72">
        <v>3.1505000000000001</v>
      </c>
      <c r="AV17" s="73">
        <v>3.3780000000000001</v>
      </c>
      <c r="AW17" s="74">
        <v>3.1555</v>
      </c>
      <c r="AX17" s="75">
        <v>3.3645</v>
      </c>
      <c r="AY17" s="8" t="s">
        <v>164</v>
      </c>
      <c r="AZ17" s="26">
        <f>5000*IF(ISBLANK(BD17),1,0)</f>
        <v>5000</v>
      </c>
      <c r="BA17" s="24">
        <f>-500+BB17*(54*(BF17-BE17)-((BH17-BG17)*50))*BC17</f>
        <v>8139.9999999995089</v>
      </c>
      <c r="BB17" s="3">
        <v>1</v>
      </c>
      <c r="BC17" s="3">
        <v>100</v>
      </c>
      <c r="BD17" s="9"/>
      <c r="BE17" s="3">
        <v>1652</v>
      </c>
      <c r="BF17" s="3">
        <v>1678.6</v>
      </c>
      <c r="BG17" s="7">
        <v>1793</v>
      </c>
      <c r="BH17" s="7">
        <v>1820</v>
      </c>
      <c r="BI17" t="s">
        <v>126</v>
      </c>
      <c r="BJ17" s="83">
        <f t="shared" si="14"/>
        <v>25000</v>
      </c>
      <c r="BK17" s="25">
        <f t="shared" si="21"/>
        <v>628409.99999999895</v>
      </c>
      <c r="BL17" s="61">
        <v>1</v>
      </c>
      <c r="BM17" s="25">
        <v>1000</v>
      </c>
      <c r="BO17" s="25">
        <v>86.62</v>
      </c>
      <c r="BP17" s="61">
        <v>97.41</v>
      </c>
      <c r="BQ17" s="25">
        <v>93.32</v>
      </c>
      <c r="BR17" s="61">
        <v>92.4</v>
      </c>
      <c r="BS17" s="3"/>
      <c r="BT17" s="24"/>
      <c r="BU17" s="24"/>
      <c r="BV17" s="3"/>
      <c r="BW17" s="3"/>
      <c r="BX17" s="9"/>
      <c r="BY17" s="3"/>
      <c r="BZ17" s="3"/>
      <c r="CB17" s="24"/>
      <c r="CD17" s="61"/>
      <c r="CH17" s="61"/>
    </row>
    <row r="18" spans="1:86" s="25" customFormat="1" x14ac:dyDescent="0.2">
      <c r="A18" s="91">
        <v>40875</v>
      </c>
      <c r="B18" s="8" t="s">
        <v>13</v>
      </c>
      <c r="C18" s="8" t="s">
        <v>14</v>
      </c>
      <c r="D18" s="57">
        <f t="shared" si="0"/>
        <v>1227303.0000000005</v>
      </c>
      <c r="E18" s="44">
        <f t="shared" si="9"/>
        <v>0</v>
      </c>
      <c r="F18" s="44">
        <f t="shared" si="10"/>
        <v>227303.00000000035</v>
      </c>
      <c r="G18" s="9" t="s">
        <v>39</v>
      </c>
      <c r="H18" s="22">
        <f>4*3500*IF(ISBLANK(L18),1,0)</f>
        <v>0</v>
      </c>
      <c r="I18" s="22">
        <f t="shared" si="1"/>
        <v>13288.000000000033</v>
      </c>
      <c r="J18" s="22">
        <v>1</v>
      </c>
      <c r="K18" s="22">
        <v>100000</v>
      </c>
      <c r="L18" s="29">
        <v>40833</v>
      </c>
      <c r="M18" s="22">
        <v>0.54984999999999995</v>
      </c>
      <c r="N18" s="39">
        <v>0.58357000000000003</v>
      </c>
      <c r="O18" s="9" t="s">
        <v>93</v>
      </c>
      <c r="P18" s="22">
        <f t="shared" si="2"/>
        <v>0</v>
      </c>
      <c r="Q18" s="22">
        <f t="shared" si="3"/>
        <v>-56150.000000000065</v>
      </c>
      <c r="R18" s="22">
        <v>1</v>
      </c>
      <c r="S18" s="22">
        <v>250</v>
      </c>
      <c r="T18" s="37">
        <v>40819</v>
      </c>
      <c r="U18" s="38">
        <v>1191.9000000000001</v>
      </c>
      <c r="V18" s="39">
        <v>1079.8</v>
      </c>
      <c r="W18" s="9" t="s">
        <v>178</v>
      </c>
      <c r="X18" s="22">
        <f>8*6000*IF(ISBLANK(AB18),1,0)</f>
        <v>0</v>
      </c>
      <c r="Y18" s="60">
        <f>8*(-50+AA18*(AD18-AC18))*IF(W18="N/A",0,1)</f>
        <v>479.99999999999545</v>
      </c>
      <c r="Z18" s="22">
        <v>1</v>
      </c>
      <c r="AA18" s="22">
        <v>1000</v>
      </c>
      <c r="AB18" s="64">
        <v>40833</v>
      </c>
      <c r="AC18" s="40">
        <v>86.51</v>
      </c>
      <c r="AD18" s="39">
        <v>86.62</v>
      </c>
      <c r="AE18" s="8" t="s">
        <v>72</v>
      </c>
      <c r="AF18" s="22">
        <f t="shared" si="20"/>
        <v>0</v>
      </c>
      <c r="AG18" s="22">
        <f t="shared" si="6"/>
        <v>-1949.9999999984057</v>
      </c>
      <c r="AH18" s="22">
        <v>-1</v>
      </c>
      <c r="AI18" s="22">
        <v>125000</v>
      </c>
      <c r="AJ18" s="22" t="s">
        <v>127</v>
      </c>
      <c r="AK18" s="38">
        <v>1.3218000000000001</v>
      </c>
      <c r="AL18" s="67">
        <v>1.3718999999999999</v>
      </c>
      <c r="AM18" s="38">
        <v>1.3232999999999999</v>
      </c>
      <c r="AN18" s="67">
        <v>1.3731</v>
      </c>
      <c r="AO18" s="8" t="s">
        <v>114</v>
      </c>
      <c r="AP18" s="22">
        <f t="shared" si="22"/>
        <v>0</v>
      </c>
      <c r="AQ18" s="22">
        <f t="shared" si="7"/>
        <v>23049.999999999953</v>
      </c>
      <c r="AR18" s="22">
        <v>1</v>
      </c>
      <c r="AS18" s="22">
        <v>25000</v>
      </c>
      <c r="AT18" s="70">
        <v>40833</v>
      </c>
      <c r="AU18" s="38">
        <v>3.1505000000000001</v>
      </c>
      <c r="AV18" s="39">
        <v>3.3780000000000001</v>
      </c>
      <c r="AW18" s="22">
        <v>3.1555</v>
      </c>
      <c r="AX18" s="35">
        <v>3.3645</v>
      </c>
      <c r="AY18" s="3" t="s">
        <v>140</v>
      </c>
      <c r="AZ18" s="26">
        <f>50000*IF(ISBLANK(BD18),1,0)</f>
        <v>0</v>
      </c>
      <c r="BA18" s="24">
        <f t="shared" si="19"/>
        <v>-62875.000000000073</v>
      </c>
      <c r="BB18" s="3">
        <v>-1</v>
      </c>
      <c r="BC18" s="3">
        <v>250</v>
      </c>
      <c r="BD18" s="8" t="s">
        <v>180</v>
      </c>
      <c r="BE18" s="3">
        <v>53.25</v>
      </c>
      <c r="BF18" s="3">
        <v>53.5</v>
      </c>
      <c r="BG18" s="7">
        <v>63.35</v>
      </c>
      <c r="BH18" s="3">
        <v>61.15</v>
      </c>
      <c r="BI18" t="s">
        <v>159</v>
      </c>
      <c r="BJ18" s="83">
        <f t="shared" si="14"/>
        <v>0</v>
      </c>
      <c r="BK18" s="25">
        <f t="shared" si="21"/>
        <v>628409.99999999895</v>
      </c>
      <c r="BL18" s="61">
        <v>1</v>
      </c>
      <c r="BM18" s="25">
        <v>1000</v>
      </c>
      <c r="BN18" s="8" t="s">
        <v>180</v>
      </c>
      <c r="BO18" s="25">
        <v>86.62</v>
      </c>
      <c r="BP18" s="61">
        <v>97.41</v>
      </c>
      <c r="BQ18" s="25">
        <v>93.32</v>
      </c>
      <c r="BR18" s="61">
        <v>92.4</v>
      </c>
      <c r="BS18" s="7" t="s">
        <v>189</v>
      </c>
      <c r="BT18" s="102">
        <f t="shared" si="15"/>
        <v>0</v>
      </c>
      <c r="BU18" s="102">
        <f t="shared" si="16"/>
        <v>-234750</v>
      </c>
      <c r="BV18" s="3">
        <v>1</v>
      </c>
      <c r="BW18" s="3">
        <v>250</v>
      </c>
      <c r="BX18" s="9"/>
      <c r="BY18" s="3">
        <v>37.4</v>
      </c>
      <c r="BZ18" s="3"/>
      <c r="CA18" s="61" t="s">
        <v>188</v>
      </c>
      <c r="CB18" s="102">
        <f t="shared" ref="CB18:CB19" si="23">0*IF(ISBLANK(CF18),1,0)</f>
        <v>0</v>
      </c>
      <c r="CC18" s="61">
        <f t="shared" si="18"/>
        <v>-82200</v>
      </c>
      <c r="CD18" s="61">
        <v>1</v>
      </c>
      <c r="CE18" s="61">
        <v>1000</v>
      </c>
      <c r="CG18" s="61">
        <v>2.5499999999999998</v>
      </c>
      <c r="CH18" s="61">
        <v>5.63</v>
      </c>
    </row>
    <row r="19" spans="1:86" s="61" customFormat="1" x14ac:dyDescent="0.2">
      <c r="A19" s="91">
        <v>40875</v>
      </c>
      <c r="B19" s="9" t="s">
        <v>15</v>
      </c>
      <c r="C19" s="9" t="s">
        <v>16</v>
      </c>
      <c r="D19" s="92">
        <f t="shared" si="0"/>
        <v>1114764.9999999984</v>
      </c>
      <c r="E19" s="9">
        <f>H19+P19+X19+AF19+AP19+AZ19+BJ19+BT19+CB19</f>
        <v>163000</v>
      </c>
      <c r="F19" s="9">
        <f t="shared" si="10"/>
        <v>277764.99999999837</v>
      </c>
      <c r="G19" s="9" t="s">
        <v>129</v>
      </c>
      <c r="H19" s="9">
        <f>4*1800*IF(ISBLANK(L19),1,0)</f>
        <v>0</v>
      </c>
      <c r="I19" s="9">
        <f t="shared" si="1"/>
        <v>21839.999999999971</v>
      </c>
      <c r="J19" s="9">
        <v>-1</v>
      </c>
      <c r="K19" s="9">
        <v>100000</v>
      </c>
      <c r="L19" s="93">
        <v>40819</v>
      </c>
      <c r="M19" s="9">
        <v>1.0043</v>
      </c>
      <c r="N19" s="9">
        <v>0.94920000000000004</v>
      </c>
      <c r="O19" s="9" t="s">
        <v>17</v>
      </c>
      <c r="P19" s="9">
        <f t="shared" si="2"/>
        <v>40000</v>
      </c>
      <c r="Q19" s="9">
        <f t="shared" si="3"/>
        <v>-35950</v>
      </c>
      <c r="R19" s="9">
        <v>-1</v>
      </c>
      <c r="S19" s="9">
        <v>25</v>
      </c>
      <c r="T19" s="94"/>
      <c r="U19" s="95">
        <v>9735</v>
      </c>
      <c r="V19" s="95">
        <v>10452</v>
      </c>
      <c r="W19" s="9" t="s">
        <v>177</v>
      </c>
      <c r="X19" s="9">
        <f>8*6000*IF(ISBLANK(AB19),1,0)</f>
        <v>48000</v>
      </c>
      <c r="Y19" s="104">
        <f>8*(-50+AA19*((AD19-AC19)*Z19))*IF(W19="N/A",0,1)</f>
        <v>3440.0000000000318</v>
      </c>
      <c r="Z19" s="9">
        <v>-1</v>
      </c>
      <c r="AA19" s="9">
        <v>1000</v>
      </c>
      <c r="AB19" s="94"/>
      <c r="AC19" s="97">
        <v>86.51</v>
      </c>
      <c r="AD19" s="95">
        <v>86.03</v>
      </c>
      <c r="AE19" s="9" t="s">
        <v>171</v>
      </c>
      <c r="AF19" s="9">
        <f t="shared" si="20"/>
        <v>0</v>
      </c>
      <c r="AG19" s="9">
        <f t="shared" si="6"/>
        <v>16799.999999999531</v>
      </c>
      <c r="AH19" s="9">
        <v>1</v>
      </c>
      <c r="AI19" s="9">
        <v>125000</v>
      </c>
      <c r="AJ19" s="9" t="s">
        <v>127</v>
      </c>
      <c r="AK19" s="105">
        <v>1.3218000000000001</v>
      </c>
      <c r="AL19" s="105">
        <v>1.3731</v>
      </c>
      <c r="AM19" s="105">
        <v>1.3232999999999999</v>
      </c>
      <c r="AN19" s="105">
        <v>1.3718999999999999</v>
      </c>
      <c r="AO19" s="9" t="s">
        <v>114</v>
      </c>
      <c r="AP19" s="9">
        <f t="shared" si="22"/>
        <v>0</v>
      </c>
      <c r="AQ19" s="9">
        <f t="shared" si="7"/>
        <v>23049.999999999953</v>
      </c>
      <c r="AR19" s="9">
        <v>1</v>
      </c>
      <c r="AS19" s="9">
        <v>25000</v>
      </c>
      <c r="AT19" s="106">
        <v>40833</v>
      </c>
      <c r="AU19" s="107">
        <v>3.1505000000000001</v>
      </c>
      <c r="AV19" s="107">
        <v>3.3780000000000001</v>
      </c>
      <c r="AW19" s="108">
        <v>3.1555</v>
      </c>
      <c r="AX19" s="108">
        <v>3.3645</v>
      </c>
      <c r="AY19" s="7" t="s">
        <v>140</v>
      </c>
      <c r="AZ19" s="101">
        <f>50000*IF(ISBLANK(BD19),1,0)</f>
        <v>50000</v>
      </c>
      <c r="BA19" s="102">
        <f t="shared" si="19"/>
        <v>-62875.000000000073</v>
      </c>
      <c r="BB19" s="7">
        <v>-1</v>
      </c>
      <c r="BC19" s="7">
        <v>250</v>
      </c>
      <c r="BD19" s="7"/>
      <c r="BE19" s="7">
        <v>53.25</v>
      </c>
      <c r="BF19" s="7">
        <v>53.5</v>
      </c>
      <c r="BG19" s="7">
        <v>63.35</v>
      </c>
      <c r="BH19" s="7">
        <v>61.15</v>
      </c>
      <c r="BI19" s="109" t="s">
        <v>159</v>
      </c>
      <c r="BJ19" s="103">
        <f t="shared" si="14"/>
        <v>25000</v>
      </c>
      <c r="BK19" s="61">
        <f t="shared" si="21"/>
        <v>628409.99999999895</v>
      </c>
      <c r="BL19" s="61">
        <v>1</v>
      </c>
      <c r="BM19" s="61">
        <v>1000</v>
      </c>
      <c r="BO19" s="61">
        <v>86.62</v>
      </c>
      <c r="BP19" s="61">
        <v>97.41</v>
      </c>
      <c r="BQ19" s="61">
        <v>93.32</v>
      </c>
      <c r="BR19" s="61">
        <v>92.4</v>
      </c>
      <c r="BS19" s="7" t="s">
        <v>189</v>
      </c>
      <c r="BT19" s="102">
        <f t="shared" si="15"/>
        <v>0</v>
      </c>
      <c r="BU19" s="102">
        <f t="shared" si="16"/>
        <v>-234750</v>
      </c>
      <c r="BV19" s="7">
        <v>1</v>
      </c>
      <c r="BW19" s="7">
        <v>250</v>
      </c>
      <c r="BX19" s="7"/>
      <c r="BY19" s="7">
        <v>37.4</v>
      </c>
      <c r="BZ19" s="7"/>
      <c r="CA19" s="61" t="s">
        <v>188</v>
      </c>
      <c r="CB19" s="102">
        <f t="shared" si="23"/>
        <v>0</v>
      </c>
      <c r="CC19" s="61">
        <f t="shared" si="18"/>
        <v>-82200</v>
      </c>
      <c r="CD19" s="61">
        <v>1</v>
      </c>
      <c r="CE19" s="61">
        <v>1000</v>
      </c>
      <c r="CG19" s="61">
        <v>2.5499999999999998</v>
      </c>
      <c r="CH19" s="61">
        <v>5.63</v>
      </c>
    </row>
    <row r="20" spans="1:86" s="25" customFormat="1" x14ac:dyDescent="0.2">
      <c r="A20" s="80">
        <v>40868</v>
      </c>
      <c r="B20" s="8" t="s">
        <v>18</v>
      </c>
      <c r="C20" s="8" t="s">
        <v>19</v>
      </c>
      <c r="D20" s="57">
        <f t="shared" si="0"/>
        <v>1351149.9999999986</v>
      </c>
      <c r="E20" s="44">
        <f t="shared" si="9"/>
        <v>7200</v>
      </c>
      <c r="F20" s="44">
        <f t="shared" si="10"/>
        <v>358349.99999999849</v>
      </c>
      <c r="G20" s="9" t="s">
        <v>135</v>
      </c>
      <c r="H20" s="22">
        <v>7200</v>
      </c>
      <c r="I20" s="22">
        <v>-22240</v>
      </c>
      <c r="J20" s="22">
        <v>1</v>
      </c>
      <c r="K20" s="22">
        <v>100000</v>
      </c>
      <c r="L20" s="29">
        <v>40819</v>
      </c>
      <c r="M20" s="22">
        <v>1.0043</v>
      </c>
      <c r="N20" s="39">
        <v>0.94920000000000004</v>
      </c>
      <c r="O20" s="84" t="s">
        <v>199</v>
      </c>
      <c r="P20" s="22">
        <f t="shared" si="2"/>
        <v>0</v>
      </c>
      <c r="Q20" s="22">
        <f t="shared" si="3"/>
        <v>-3600</v>
      </c>
      <c r="R20" s="22">
        <v>1</v>
      </c>
      <c r="S20" s="22">
        <v>250</v>
      </c>
      <c r="T20" s="33" t="s">
        <v>180</v>
      </c>
      <c r="U20" s="38">
        <v>1191.9000000000001</v>
      </c>
      <c r="V20" s="39">
        <v>1184.9000000000001</v>
      </c>
      <c r="W20" s="9" t="s">
        <v>115</v>
      </c>
      <c r="X20" s="22">
        <f>8*6000*IF(ISBLANK(AB20),1,0)</f>
        <v>0</v>
      </c>
      <c r="Y20" s="60">
        <f>8*(-50+AA20*((AD20-AC20)*Z20))*IF(W20="N/A",0,1)</f>
        <v>65680.000000000044</v>
      </c>
      <c r="Z20" s="22">
        <v>-1</v>
      </c>
      <c r="AA20" s="22">
        <v>1000</v>
      </c>
      <c r="AB20" s="33">
        <v>40819</v>
      </c>
      <c r="AC20" s="40">
        <v>86.51</v>
      </c>
      <c r="AD20" s="39">
        <v>78.25</v>
      </c>
      <c r="AE20" s="8" t="s">
        <v>136</v>
      </c>
      <c r="AF20" s="22">
        <f t="shared" si="20"/>
        <v>0</v>
      </c>
      <c r="AG20" s="22">
        <f t="shared" si="6"/>
        <v>16799.999999999531</v>
      </c>
      <c r="AH20" s="22">
        <v>1</v>
      </c>
      <c r="AI20" s="22">
        <v>125000</v>
      </c>
      <c r="AJ20" s="22" t="s">
        <v>127</v>
      </c>
      <c r="AK20" s="68">
        <v>1.3218000000000001</v>
      </c>
      <c r="AL20" s="69">
        <v>1.3731</v>
      </c>
      <c r="AM20" s="68">
        <v>1.3232999999999999</v>
      </c>
      <c r="AN20" s="69">
        <v>1.3718999999999999</v>
      </c>
      <c r="AO20" s="8" t="s">
        <v>114</v>
      </c>
      <c r="AP20" s="22">
        <f t="shared" si="22"/>
        <v>0</v>
      </c>
      <c r="AQ20" s="22">
        <f t="shared" si="7"/>
        <v>23049.999999999953</v>
      </c>
      <c r="AR20" s="22">
        <v>1</v>
      </c>
      <c r="AS20" s="22">
        <v>25000</v>
      </c>
      <c r="AT20" s="71">
        <v>40833</v>
      </c>
      <c r="AU20" s="72">
        <v>3.1505000000000001</v>
      </c>
      <c r="AV20" s="73">
        <v>3.3780000000000001</v>
      </c>
      <c r="AW20" s="74">
        <v>3.1555</v>
      </c>
      <c r="AX20" s="75">
        <v>3.3645</v>
      </c>
      <c r="AY20" s="84" t="s">
        <v>200</v>
      </c>
      <c r="AZ20" s="26">
        <f>32500*IF(ISBLANK(BD20),1,0)</f>
        <v>0</v>
      </c>
      <c r="BA20" s="24">
        <f>-500+BB20*(51*(BF20-BE20)-((BH20-BG20)*50))*BC20</f>
        <v>-32800</v>
      </c>
      <c r="BB20" s="3">
        <v>1</v>
      </c>
      <c r="BC20" s="3">
        <v>100</v>
      </c>
      <c r="BD20" s="8" t="s">
        <v>180</v>
      </c>
      <c r="BE20" s="3">
        <v>1676.6</v>
      </c>
      <c r="BF20" s="3">
        <v>1678.6</v>
      </c>
      <c r="BG20" s="7">
        <v>1706</v>
      </c>
      <c r="BH20" s="7">
        <v>1714.5</v>
      </c>
      <c r="BI20" s="81" t="s">
        <v>194</v>
      </c>
      <c r="BJ20" s="83">
        <f t="shared" si="14"/>
        <v>0</v>
      </c>
      <c r="BK20" s="25">
        <f t="shared" si="21"/>
        <v>628409.99999999895</v>
      </c>
      <c r="BL20" s="61">
        <v>1</v>
      </c>
      <c r="BM20" s="25">
        <v>1000</v>
      </c>
      <c r="BN20" s="25" t="s">
        <v>180</v>
      </c>
      <c r="BO20" s="25">
        <v>86.62</v>
      </c>
      <c r="BP20" s="61">
        <v>97.41</v>
      </c>
      <c r="BQ20" s="25">
        <v>93.32</v>
      </c>
      <c r="BR20" s="61">
        <v>92.4</v>
      </c>
      <c r="BS20" s="3" t="s">
        <v>189</v>
      </c>
      <c r="BT20" s="24">
        <f t="shared" si="15"/>
        <v>0</v>
      </c>
      <c r="BU20" s="24">
        <f t="shared" si="16"/>
        <v>-234750</v>
      </c>
      <c r="BV20" s="3">
        <v>1</v>
      </c>
      <c r="BW20" s="3">
        <v>250</v>
      </c>
      <c r="BX20" s="8"/>
      <c r="BY20" s="3">
        <v>37.4</v>
      </c>
      <c r="BZ20" s="3"/>
      <c r="CA20" s="25" t="s">
        <v>187</v>
      </c>
      <c r="CB20" s="24">
        <f t="shared" si="17"/>
        <v>0</v>
      </c>
      <c r="CC20" s="25">
        <f t="shared" si="18"/>
        <v>-82200</v>
      </c>
      <c r="CD20" s="61">
        <v>1</v>
      </c>
      <c r="CE20" s="25">
        <v>1000</v>
      </c>
      <c r="CG20" s="25">
        <v>2.5499999999999998</v>
      </c>
      <c r="CH20" s="61">
        <v>5.63</v>
      </c>
    </row>
    <row r="21" spans="1:86" s="25" customFormat="1" x14ac:dyDescent="0.2">
      <c r="A21" s="80">
        <v>40868</v>
      </c>
      <c r="B21" s="8" t="s">
        <v>34</v>
      </c>
      <c r="C21" s="8"/>
      <c r="D21" s="57">
        <f t="shared" si="0"/>
        <v>1108774.9999999991</v>
      </c>
      <c r="E21" s="44">
        <f t="shared" si="9"/>
        <v>155450</v>
      </c>
      <c r="F21" s="44">
        <f t="shared" si="10"/>
        <v>264224.99999999895</v>
      </c>
      <c r="G21" s="9" t="s">
        <v>35</v>
      </c>
      <c r="H21" s="22">
        <f>4*1800*IF(ISBLANK(L21),1,0)</f>
        <v>7200</v>
      </c>
      <c r="I21" s="22">
        <f>4*(-50+K21*(N21-M21))</f>
        <v>-22239.999999999971</v>
      </c>
      <c r="J21" s="22">
        <v>1</v>
      </c>
      <c r="K21" s="22">
        <v>100000</v>
      </c>
      <c r="L21" s="29"/>
      <c r="M21" s="22">
        <v>1.0043</v>
      </c>
      <c r="N21" s="35">
        <v>0.94920000000000004</v>
      </c>
      <c r="O21" s="9" t="s">
        <v>89</v>
      </c>
      <c r="P21" s="22">
        <f t="shared" si="2"/>
        <v>40000</v>
      </c>
      <c r="Q21" s="22">
        <f t="shared" si="3"/>
        <v>55950.000000000065</v>
      </c>
      <c r="R21" s="22">
        <v>-1</v>
      </c>
      <c r="S21" s="22">
        <v>250</v>
      </c>
      <c r="T21" s="33"/>
      <c r="U21" s="38">
        <v>1191.9000000000001</v>
      </c>
      <c r="V21" s="39">
        <v>1079.8</v>
      </c>
      <c r="W21" s="9" t="s">
        <v>94</v>
      </c>
      <c r="X21" s="22">
        <f>8*2750*IF(ISBLANK(AB21),1,0)</f>
        <v>22000</v>
      </c>
      <c r="Y21" s="60">
        <f t="shared" ref="Y21:Y27" si="24">8*(-50+AA21*(AD21-AC21))*IF(W21="N/A",0,1)</f>
        <v>-17920.000000000025</v>
      </c>
      <c r="Z21" s="22">
        <v>1</v>
      </c>
      <c r="AA21" s="22">
        <v>10000</v>
      </c>
      <c r="AB21" s="33"/>
      <c r="AC21" s="40">
        <v>4.327</v>
      </c>
      <c r="AD21" s="39">
        <v>4.1079999999999997</v>
      </c>
      <c r="AE21" s="8" t="s">
        <v>171</v>
      </c>
      <c r="AF21" s="22">
        <f t="shared" si="20"/>
        <v>7500</v>
      </c>
      <c r="AG21" s="22">
        <f t="shared" si="6"/>
        <v>-75</v>
      </c>
      <c r="AH21" s="22">
        <v>1</v>
      </c>
      <c r="AI21" s="22">
        <v>125000</v>
      </c>
      <c r="AJ21" s="22"/>
      <c r="AK21" s="38">
        <v>1.3218000000000001</v>
      </c>
      <c r="AL21" s="39">
        <v>1.3218000000000001</v>
      </c>
      <c r="AM21" s="38">
        <v>1.3232999999999999</v>
      </c>
      <c r="AN21" s="39">
        <v>1.3232999999999999</v>
      </c>
      <c r="AO21" s="8" t="s">
        <v>102</v>
      </c>
      <c r="AP21" s="22">
        <f t="shared" si="22"/>
        <v>3750</v>
      </c>
      <c r="AQ21" s="22">
        <f t="shared" si="7"/>
        <v>-75</v>
      </c>
      <c r="AR21" s="22">
        <v>-1</v>
      </c>
      <c r="AS21" s="22">
        <v>25000</v>
      </c>
      <c r="AT21" s="70"/>
      <c r="AU21" s="38">
        <v>3.1505000000000001</v>
      </c>
      <c r="AV21" s="39">
        <v>3.1505000000000001</v>
      </c>
      <c r="AW21" s="38">
        <v>3.1555</v>
      </c>
      <c r="AX21" s="39">
        <v>3.1555</v>
      </c>
      <c r="AY21" s="3" t="s">
        <v>140</v>
      </c>
      <c r="AZ21" s="26">
        <f>50000*IF(ISBLANK(BD21),1,0)</f>
        <v>50000</v>
      </c>
      <c r="BA21" s="24">
        <f t="shared" si="19"/>
        <v>-62875.000000000073</v>
      </c>
      <c r="BB21" s="3">
        <v>-1</v>
      </c>
      <c r="BC21" s="3">
        <v>250</v>
      </c>
      <c r="BD21" s="3"/>
      <c r="BE21" s="3">
        <v>53.25</v>
      </c>
      <c r="BF21" s="3">
        <v>53.5</v>
      </c>
      <c r="BG21" s="7">
        <v>63.35</v>
      </c>
      <c r="BH21" s="3">
        <v>61.15</v>
      </c>
      <c r="BI21" t="s">
        <v>159</v>
      </c>
      <c r="BJ21" s="83">
        <f t="shared" si="14"/>
        <v>25000</v>
      </c>
      <c r="BK21" s="25">
        <f t="shared" si="21"/>
        <v>628409.99999999895</v>
      </c>
      <c r="BL21" s="61">
        <v>1</v>
      </c>
      <c r="BM21" s="25">
        <v>1000</v>
      </c>
      <c r="BO21" s="25">
        <v>86.62</v>
      </c>
      <c r="BP21" s="61">
        <v>97.41</v>
      </c>
      <c r="BQ21" s="25">
        <v>93.32</v>
      </c>
      <c r="BR21" s="61">
        <v>92.4</v>
      </c>
      <c r="BS21" s="3" t="s">
        <v>189</v>
      </c>
      <c r="BT21" s="24">
        <f t="shared" si="15"/>
        <v>0</v>
      </c>
      <c r="BU21" s="24">
        <f t="shared" si="16"/>
        <v>-234750</v>
      </c>
      <c r="BV21" s="3">
        <v>1</v>
      </c>
      <c r="BW21" s="3">
        <v>250</v>
      </c>
      <c r="BX21" s="3"/>
      <c r="BY21" s="3">
        <v>37.4</v>
      </c>
      <c r="BZ21" s="3"/>
      <c r="CA21" s="25" t="s">
        <v>187</v>
      </c>
      <c r="CB21" s="24">
        <f t="shared" si="17"/>
        <v>0</v>
      </c>
      <c r="CC21" s="25">
        <f t="shared" si="18"/>
        <v>-82200</v>
      </c>
      <c r="CD21" s="61">
        <v>1</v>
      </c>
      <c r="CE21" s="25">
        <v>1000</v>
      </c>
      <c r="CG21" s="25">
        <v>2.5499999999999998</v>
      </c>
      <c r="CH21" s="61">
        <v>5.63</v>
      </c>
    </row>
    <row r="22" spans="1:86" s="25" customFormat="1" x14ac:dyDescent="0.2">
      <c r="A22" s="80">
        <v>40868</v>
      </c>
      <c r="B22" s="8" t="s">
        <v>20</v>
      </c>
      <c r="C22" s="8" t="s">
        <v>21</v>
      </c>
      <c r="D22" s="57">
        <f t="shared" si="0"/>
        <v>1182829.9999999972</v>
      </c>
      <c r="E22" s="44">
        <f t="shared" si="9"/>
        <v>0</v>
      </c>
      <c r="F22" s="44">
        <f t="shared" si="10"/>
        <v>182829.99999999721</v>
      </c>
      <c r="G22" s="84" t="s">
        <v>202</v>
      </c>
      <c r="H22" s="22">
        <f>4*1800*IF(ISBLANK(L22),1,0)</f>
        <v>0</v>
      </c>
      <c r="I22" s="22">
        <f t="shared" ref="I22:I35" si="25">4*(-50+J22*K22*(N22-M22))</f>
        <v>-17759.999999999975</v>
      </c>
      <c r="J22" s="22">
        <v>1</v>
      </c>
      <c r="K22" s="22">
        <v>100000</v>
      </c>
      <c r="L22" s="29" t="s">
        <v>180</v>
      </c>
      <c r="M22" s="22">
        <v>1.0043</v>
      </c>
      <c r="N22" s="35">
        <v>0.96040000000000003</v>
      </c>
      <c r="O22" s="84" t="s">
        <v>201</v>
      </c>
      <c r="P22" s="22">
        <f t="shared" si="2"/>
        <v>0</v>
      </c>
      <c r="Q22" s="22">
        <f t="shared" si="3"/>
        <v>1950.0000000000682</v>
      </c>
      <c r="R22" s="22">
        <v>-1</v>
      </c>
      <c r="S22" s="22">
        <v>250</v>
      </c>
      <c r="T22" s="33" t="s">
        <v>65</v>
      </c>
      <c r="U22" s="38">
        <v>1191.9000000000001</v>
      </c>
      <c r="V22" s="39">
        <v>1187.8</v>
      </c>
      <c r="W22" s="9" t="s">
        <v>175</v>
      </c>
      <c r="X22" s="22">
        <f>8*2750*IF(ISBLANK(AB22),1,0)</f>
        <v>0</v>
      </c>
      <c r="Y22" s="36">
        <f t="shared" si="24"/>
        <v>-17920.000000000025</v>
      </c>
      <c r="Z22" s="22">
        <v>1</v>
      </c>
      <c r="AA22" s="22">
        <v>10000</v>
      </c>
      <c r="AB22" s="37">
        <v>40819</v>
      </c>
      <c r="AC22" s="40">
        <v>4.327</v>
      </c>
      <c r="AD22" s="39">
        <v>4.1079999999999997</v>
      </c>
      <c r="AE22" s="84" t="s">
        <v>205</v>
      </c>
      <c r="AF22" s="22">
        <f t="shared" si="20"/>
        <v>0</v>
      </c>
      <c r="AG22" s="22">
        <f t="shared" si="6"/>
        <v>-20700.000000001892</v>
      </c>
      <c r="AH22" s="22">
        <v>1</v>
      </c>
      <c r="AI22" s="22">
        <v>125000</v>
      </c>
      <c r="AJ22" s="22" t="s">
        <v>204</v>
      </c>
      <c r="AK22" s="38">
        <v>1.3218000000000001</v>
      </c>
      <c r="AL22" s="39">
        <v>1.3512</v>
      </c>
      <c r="AM22" s="38">
        <v>1.3232999999999999</v>
      </c>
      <c r="AN22" s="39">
        <v>1.3560000000000001</v>
      </c>
      <c r="AO22" s="84" t="s">
        <v>198</v>
      </c>
      <c r="AP22" s="22">
        <f t="shared" si="22"/>
        <v>0</v>
      </c>
      <c r="AQ22" s="22">
        <f t="shared" si="7"/>
        <v>-11324.999999999871</v>
      </c>
      <c r="AR22" s="22">
        <v>-1</v>
      </c>
      <c r="AS22" s="22">
        <v>25000</v>
      </c>
      <c r="AT22" s="70" t="s">
        <v>180</v>
      </c>
      <c r="AU22" s="72">
        <v>3.1505000000000001</v>
      </c>
      <c r="AV22" s="75">
        <v>3.3029999999999999</v>
      </c>
      <c r="AW22" s="74">
        <v>3.1555</v>
      </c>
      <c r="AX22" s="73">
        <v>3.2989999999999999</v>
      </c>
      <c r="AY22" s="85" t="s">
        <v>193</v>
      </c>
      <c r="AZ22" s="26">
        <f t="shared" ref="AZ22:AZ37" si="26">50000*IF(ISBLANK(BD22),1,0)</f>
        <v>0</v>
      </c>
      <c r="BA22" s="24">
        <f t="shared" si="19"/>
        <v>-62875.000000000073</v>
      </c>
      <c r="BB22" s="3">
        <v>-1</v>
      </c>
      <c r="BC22" s="3">
        <v>250</v>
      </c>
      <c r="BD22" s="3" t="s">
        <v>180</v>
      </c>
      <c r="BE22" s="3">
        <v>53.25</v>
      </c>
      <c r="BF22" s="3">
        <v>53.5</v>
      </c>
      <c r="BG22" s="7">
        <v>63.35</v>
      </c>
      <c r="BH22" s="3">
        <v>61.15</v>
      </c>
      <c r="BI22" s="81" t="s">
        <v>194</v>
      </c>
      <c r="BJ22" s="83">
        <f t="shared" si="14"/>
        <v>0</v>
      </c>
      <c r="BK22" s="25">
        <f t="shared" si="21"/>
        <v>628409.99999999895</v>
      </c>
      <c r="BL22" s="61">
        <v>1</v>
      </c>
      <c r="BM22" s="25">
        <v>1000</v>
      </c>
      <c r="BN22" s="25" t="s">
        <v>180</v>
      </c>
      <c r="BO22" s="25">
        <v>86.62</v>
      </c>
      <c r="BP22" s="61">
        <v>97.41</v>
      </c>
      <c r="BQ22" s="25">
        <v>93.32</v>
      </c>
      <c r="BR22" s="61">
        <v>92.4</v>
      </c>
      <c r="BS22" s="3" t="s">
        <v>189</v>
      </c>
      <c r="BT22" s="24">
        <f t="shared" si="15"/>
        <v>0</v>
      </c>
      <c r="BU22" s="24">
        <f t="shared" si="16"/>
        <v>-234750</v>
      </c>
      <c r="BV22" s="3">
        <v>1</v>
      </c>
      <c r="BW22" s="3">
        <v>250</v>
      </c>
      <c r="BX22" s="3"/>
      <c r="BY22" s="3">
        <v>37.4</v>
      </c>
      <c r="BZ22" s="3"/>
      <c r="CA22" s="25" t="s">
        <v>187</v>
      </c>
      <c r="CB22" s="24">
        <f t="shared" si="17"/>
        <v>0</v>
      </c>
      <c r="CC22" s="25">
        <f t="shared" si="18"/>
        <v>-82200</v>
      </c>
      <c r="CD22" s="61">
        <v>1</v>
      </c>
      <c r="CE22" s="25">
        <v>1000</v>
      </c>
      <c r="CG22" s="25">
        <v>2.5499999999999998</v>
      </c>
      <c r="CH22" s="61">
        <v>5.63</v>
      </c>
    </row>
    <row r="23" spans="1:86" s="25" customFormat="1" x14ac:dyDescent="0.2">
      <c r="A23" s="80">
        <v>40868</v>
      </c>
      <c r="B23" s="8" t="s">
        <v>22</v>
      </c>
      <c r="C23" s="8" t="s">
        <v>23</v>
      </c>
      <c r="D23" s="57">
        <f t="shared" si="0"/>
        <v>1243654.9999999986</v>
      </c>
      <c r="E23" s="44">
        <f t="shared" si="9"/>
        <v>0</v>
      </c>
      <c r="F23" s="44">
        <f t="shared" si="10"/>
        <v>243654.9999999986</v>
      </c>
      <c r="G23" s="84" t="s">
        <v>202</v>
      </c>
      <c r="H23" s="22">
        <f>4*1800*IF(ISBLANK(L23),1,0)</f>
        <v>0</v>
      </c>
      <c r="I23" s="22">
        <f t="shared" si="25"/>
        <v>-17759.999999999975</v>
      </c>
      <c r="J23" s="22">
        <v>1</v>
      </c>
      <c r="K23" s="22">
        <v>100000</v>
      </c>
      <c r="L23" s="29" t="s">
        <v>180</v>
      </c>
      <c r="M23" s="22">
        <v>1.0043</v>
      </c>
      <c r="N23" s="35">
        <v>0.96040000000000003</v>
      </c>
      <c r="O23" s="84" t="s">
        <v>201</v>
      </c>
      <c r="P23" s="22">
        <f t="shared" si="2"/>
        <v>0</v>
      </c>
      <c r="Q23" s="22">
        <f t="shared" si="3"/>
        <v>3400</v>
      </c>
      <c r="R23" s="22">
        <v>-1</v>
      </c>
      <c r="S23" s="22">
        <v>250</v>
      </c>
      <c r="T23" s="33" t="s">
        <v>180</v>
      </c>
      <c r="U23" s="38">
        <v>1191.9000000000001</v>
      </c>
      <c r="V23" s="39">
        <v>1184.9000000000001</v>
      </c>
      <c r="W23" s="9" t="s">
        <v>175</v>
      </c>
      <c r="X23" s="22">
        <f>8*2750*IF(ISBLANK(AB23),1,0)</f>
        <v>0</v>
      </c>
      <c r="Y23" s="36">
        <f t="shared" si="24"/>
        <v>-17920.000000000025</v>
      </c>
      <c r="Z23" s="22">
        <v>1</v>
      </c>
      <c r="AA23" s="22">
        <v>10000</v>
      </c>
      <c r="AB23" s="37">
        <v>40819</v>
      </c>
      <c r="AC23" s="40">
        <v>4.327</v>
      </c>
      <c r="AD23" s="39">
        <v>4.1079999999999997</v>
      </c>
      <c r="AE23" s="8" t="s">
        <v>137</v>
      </c>
      <c r="AF23" s="22">
        <f t="shared" si="20"/>
        <v>0</v>
      </c>
      <c r="AG23" s="22">
        <f t="shared" si="6"/>
        <v>16799.999999999531</v>
      </c>
      <c r="AH23" s="22">
        <v>1</v>
      </c>
      <c r="AI23" s="22">
        <v>125000</v>
      </c>
      <c r="AJ23" s="22" t="s">
        <v>127</v>
      </c>
      <c r="AK23" s="68">
        <v>1.3218000000000001</v>
      </c>
      <c r="AL23" s="69">
        <v>1.3731</v>
      </c>
      <c r="AM23" s="68">
        <v>1.3232999999999999</v>
      </c>
      <c r="AN23" s="69">
        <v>1.3718999999999999</v>
      </c>
      <c r="AO23" s="8" t="s">
        <v>138</v>
      </c>
      <c r="AP23" s="22">
        <f t="shared" si="22"/>
        <v>0</v>
      </c>
      <c r="AQ23" s="22">
        <f t="shared" si="7"/>
        <v>10550.000000000218</v>
      </c>
      <c r="AR23" s="22">
        <v>-1</v>
      </c>
      <c r="AS23" s="22">
        <v>25000</v>
      </c>
      <c r="AT23" s="71">
        <v>40833</v>
      </c>
      <c r="AU23" s="72">
        <v>3.1505000000000001</v>
      </c>
      <c r="AV23" s="75">
        <v>3.3645</v>
      </c>
      <c r="AW23" s="74">
        <v>3.1555</v>
      </c>
      <c r="AX23" s="73">
        <v>3.3780000000000001</v>
      </c>
      <c r="AY23" s="85" t="s">
        <v>193</v>
      </c>
      <c r="AZ23" s="26">
        <f t="shared" si="26"/>
        <v>0</v>
      </c>
      <c r="BA23" s="24">
        <f t="shared" si="19"/>
        <v>-62875.000000000073</v>
      </c>
      <c r="BB23" s="3">
        <v>-1</v>
      </c>
      <c r="BC23" s="3">
        <v>250</v>
      </c>
      <c r="BD23" s="3" t="s">
        <v>180</v>
      </c>
      <c r="BE23" s="3">
        <v>53.25</v>
      </c>
      <c r="BF23" s="3">
        <v>53.5</v>
      </c>
      <c r="BG23" s="7">
        <v>63.35</v>
      </c>
      <c r="BH23" s="3">
        <v>61.15</v>
      </c>
      <c r="BI23" s="81" t="s">
        <v>194</v>
      </c>
      <c r="BJ23" s="83">
        <f t="shared" si="14"/>
        <v>0</v>
      </c>
      <c r="BK23" s="25">
        <f t="shared" si="21"/>
        <v>628409.99999999895</v>
      </c>
      <c r="BL23" s="61">
        <v>1</v>
      </c>
      <c r="BM23" s="25">
        <v>1000</v>
      </c>
      <c r="BN23" s="25" t="s">
        <v>180</v>
      </c>
      <c r="BO23" s="25">
        <v>86.62</v>
      </c>
      <c r="BP23" s="61">
        <v>97.41</v>
      </c>
      <c r="BQ23" s="25">
        <v>93.32</v>
      </c>
      <c r="BR23" s="61">
        <v>92.4</v>
      </c>
      <c r="BS23" s="3" t="s">
        <v>189</v>
      </c>
      <c r="BT23" s="24">
        <f t="shared" si="15"/>
        <v>0</v>
      </c>
      <c r="BU23" s="24">
        <f t="shared" si="16"/>
        <v>-234750</v>
      </c>
      <c r="BV23" s="3">
        <v>1</v>
      </c>
      <c r="BW23" s="3">
        <v>250</v>
      </c>
      <c r="BY23" s="3">
        <v>37.4</v>
      </c>
      <c r="CA23" s="25" t="s">
        <v>187</v>
      </c>
      <c r="CB23" s="24">
        <f t="shared" si="17"/>
        <v>0</v>
      </c>
      <c r="CC23" s="25">
        <f t="shared" si="18"/>
        <v>-82200</v>
      </c>
      <c r="CD23" s="61">
        <v>1</v>
      </c>
      <c r="CE23" s="25">
        <v>1000</v>
      </c>
      <c r="CG23" s="25">
        <v>2.5499999999999998</v>
      </c>
      <c r="CH23" s="61">
        <v>5.63</v>
      </c>
    </row>
    <row r="24" spans="1:86" s="25" customFormat="1" x14ac:dyDescent="0.2">
      <c r="A24" s="80">
        <v>40868</v>
      </c>
      <c r="B24" s="8" t="s">
        <v>24</v>
      </c>
      <c r="C24" s="8" t="s">
        <v>25</v>
      </c>
      <c r="D24" s="57">
        <f t="shared" si="0"/>
        <v>1238954.9999999986</v>
      </c>
      <c r="E24" s="44">
        <f t="shared" si="9"/>
        <v>71650</v>
      </c>
      <c r="F24" s="44">
        <f t="shared" si="10"/>
        <v>310604.99999999872</v>
      </c>
      <c r="G24" s="9" t="s">
        <v>40</v>
      </c>
      <c r="H24" s="22">
        <f>4*2600*IF(ISBLANK(L24),1,0)</f>
        <v>10400</v>
      </c>
      <c r="I24" s="22">
        <f t="shared" si="25"/>
        <v>1120.0000000000323</v>
      </c>
      <c r="J24" s="22">
        <v>1</v>
      </c>
      <c r="K24" s="22">
        <v>100000</v>
      </c>
      <c r="L24" s="29"/>
      <c r="M24" s="22">
        <v>0.99019999999999997</v>
      </c>
      <c r="N24" s="35">
        <v>0.99350000000000005</v>
      </c>
      <c r="O24" s="9" t="s">
        <v>174</v>
      </c>
      <c r="P24" s="22">
        <f t="shared" si="2"/>
        <v>0</v>
      </c>
      <c r="Q24" s="22">
        <f t="shared" si="3"/>
        <v>55950.000000000065</v>
      </c>
      <c r="R24" s="22">
        <v>-1</v>
      </c>
      <c r="S24" s="22">
        <v>250</v>
      </c>
      <c r="T24" s="37">
        <v>40819</v>
      </c>
      <c r="U24" s="38">
        <v>1191.9000000000001</v>
      </c>
      <c r="V24" s="39">
        <v>1079.8</v>
      </c>
      <c r="W24" s="9" t="s">
        <v>94</v>
      </c>
      <c r="X24" s="22">
        <f>8*2750*IF(ISBLANK(AB24),1,0)</f>
        <v>0</v>
      </c>
      <c r="Y24" s="36">
        <f t="shared" si="24"/>
        <v>-22400.000000000029</v>
      </c>
      <c r="Z24" s="22">
        <v>1</v>
      </c>
      <c r="AA24" s="22">
        <v>10000</v>
      </c>
      <c r="AB24" s="64">
        <v>40833</v>
      </c>
      <c r="AC24" s="40">
        <v>4.327</v>
      </c>
      <c r="AD24" s="39">
        <v>4.0519999999999996</v>
      </c>
      <c r="AE24" s="8" t="s">
        <v>171</v>
      </c>
      <c r="AF24" s="22">
        <f t="shared" si="20"/>
        <v>7500</v>
      </c>
      <c r="AG24" s="22">
        <f t="shared" si="6"/>
        <v>16799.999999999531</v>
      </c>
      <c r="AH24" s="22">
        <v>1</v>
      </c>
      <c r="AI24" s="22">
        <v>125000</v>
      </c>
      <c r="AJ24" s="22"/>
      <c r="AK24" s="68">
        <v>1.3218000000000001</v>
      </c>
      <c r="AL24" s="69">
        <v>1.3731</v>
      </c>
      <c r="AM24" s="68">
        <v>1.3232999999999999</v>
      </c>
      <c r="AN24" s="69">
        <v>1.3718999999999999</v>
      </c>
      <c r="AO24" s="8" t="s">
        <v>102</v>
      </c>
      <c r="AP24" s="22">
        <f t="shared" si="22"/>
        <v>3750</v>
      </c>
      <c r="AQ24" s="22">
        <f t="shared" si="7"/>
        <v>10550.000000000218</v>
      </c>
      <c r="AR24" s="22">
        <v>-1</v>
      </c>
      <c r="AS24" s="22">
        <v>25000</v>
      </c>
      <c r="AT24" s="70"/>
      <c r="AU24" s="72">
        <v>3.1505000000000001</v>
      </c>
      <c r="AV24" s="75">
        <v>3.3645</v>
      </c>
      <c r="AW24" s="74">
        <v>3.1555</v>
      </c>
      <c r="AX24" s="73">
        <v>3.3780000000000001</v>
      </c>
      <c r="AY24" s="3" t="s">
        <v>140</v>
      </c>
      <c r="AZ24" s="26">
        <f t="shared" si="26"/>
        <v>50000</v>
      </c>
      <c r="BA24" s="24">
        <f t="shared" si="19"/>
        <v>-62875.000000000073</v>
      </c>
      <c r="BB24" s="3">
        <v>-1</v>
      </c>
      <c r="BC24" s="3">
        <v>250</v>
      </c>
      <c r="BD24" s="3"/>
      <c r="BE24" s="3">
        <v>53.25</v>
      </c>
      <c r="BF24" s="3">
        <v>53.5</v>
      </c>
      <c r="BG24" s="7">
        <v>63.35</v>
      </c>
      <c r="BH24" s="3">
        <v>61.15</v>
      </c>
      <c r="BI24" s="81" t="s">
        <v>194</v>
      </c>
      <c r="BJ24" s="83">
        <f t="shared" si="14"/>
        <v>0</v>
      </c>
      <c r="BK24" s="25">
        <f t="shared" si="21"/>
        <v>628409.99999999895</v>
      </c>
      <c r="BL24" s="61">
        <v>1</v>
      </c>
      <c r="BM24" s="25">
        <v>1000</v>
      </c>
      <c r="BN24" s="61" t="s">
        <v>180</v>
      </c>
      <c r="BO24" s="25">
        <v>86.62</v>
      </c>
      <c r="BP24" s="61">
        <v>97.41</v>
      </c>
      <c r="BQ24" s="25">
        <v>93.32</v>
      </c>
      <c r="BR24" s="61">
        <v>92.4</v>
      </c>
      <c r="BS24" s="3" t="s">
        <v>189</v>
      </c>
      <c r="BT24" s="24">
        <f t="shared" si="15"/>
        <v>0</v>
      </c>
      <c r="BU24" s="24">
        <f t="shared" si="16"/>
        <v>-234750</v>
      </c>
      <c r="BV24" s="3">
        <v>1</v>
      </c>
      <c r="BW24" s="3">
        <v>250</v>
      </c>
      <c r="BY24" s="3">
        <v>37.4</v>
      </c>
      <c r="CA24" s="25" t="s">
        <v>187</v>
      </c>
      <c r="CB24" s="24">
        <f t="shared" si="17"/>
        <v>0</v>
      </c>
      <c r="CC24" s="25">
        <f t="shared" si="18"/>
        <v>-82200</v>
      </c>
      <c r="CD24" s="61">
        <v>1</v>
      </c>
      <c r="CE24" s="25">
        <v>1000</v>
      </c>
      <c r="CG24" s="25">
        <v>2.5499999999999998</v>
      </c>
      <c r="CH24" s="61">
        <v>5.63</v>
      </c>
    </row>
    <row r="25" spans="1:86" s="25" customFormat="1" x14ac:dyDescent="0.2">
      <c r="A25" s="80">
        <v>40868</v>
      </c>
      <c r="B25" s="62" t="s">
        <v>26</v>
      </c>
      <c r="C25" s="62" t="s">
        <v>27</v>
      </c>
      <c r="D25" s="57" t="e">
        <f t="shared" si="0"/>
        <v>#VALUE!</v>
      </c>
      <c r="E25" s="44">
        <f t="shared" si="9"/>
        <v>122500</v>
      </c>
      <c r="F25" s="44" t="e">
        <f t="shared" si="10"/>
        <v>#VALUE!</v>
      </c>
      <c r="G25" s="9" t="s">
        <v>88</v>
      </c>
      <c r="H25" s="22">
        <f>4*1800*IF(ISBLANK(L25),1,0)</f>
        <v>0</v>
      </c>
      <c r="I25" s="22" t="e">
        <f t="shared" si="25"/>
        <v>#VALUE!</v>
      </c>
      <c r="J25" s="22">
        <v>1</v>
      </c>
      <c r="K25" s="22">
        <v>100000</v>
      </c>
      <c r="L25" s="29">
        <v>40833</v>
      </c>
      <c r="M25" s="22">
        <v>1.0043</v>
      </c>
      <c r="N25" s="35" t="s">
        <v>63</v>
      </c>
      <c r="O25" s="9" t="s">
        <v>89</v>
      </c>
      <c r="P25" s="22">
        <f t="shared" si="2"/>
        <v>40000</v>
      </c>
      <c r="Q25" s="22">
        <f t="shared" si="3"/>
        <v>55950.000000000065</v>
      </c>
      <c r="R25" s="22">
        <v>-1</v>
      </c>
      <c r="S25" s="22">
        <v>250</v>
      </c>
      <c r="T25" s="33"/>
      <c r="U25" s="38">
        <v>1191.9000000000001</v>
      </c>
      <c r="V25" s="39">
        <v>1079.8</v>
      </c>
      <c r="W25" s="9" t="s">
        <v>175</v>
      </c>
      <c r="X25" s="22">
        <f>8*2750*IF(ISBLANK(AB25),1,0)</f>
        <v>0</v>
      </c>
      <c r="Y25" s="36">
        <f t="shared" si="24"/>
        <v>-17920.000000000025</v>
      </c>
      <c r="Z25" s="22">
        <v>1</v>
      </c>
      <c r="AA25" s="22">
        <v>10000</v>
      </c>
      <c r="AB25" s="37">
        <v>40819</v>
      </c>
      <c r="AC25" s="40">
        <v>4.327</v>
      </c>
      <c r="AD25" s="39">
        <v>4.1079999999999997</v>
      </c>
      <c r="AE25" s="8" t="s">
        <v>171</v>
      </c>
      <c r="AF25" s="22">
        <f t="shared" si="20"/>
        <v>7500</v>
      </c>
      <c r="AG25" s="22">
        <f t="shared" si="6"/>
        <v>-75</v>
      </c>
      <c r="AH25" s="22">
        <v>1</v>
      </c>
      <c r="AI25" s="22">
        <v>125000</v>
      </c>
      <c r="AJ25" s="29"/>
      <c r="AK25" s="38">
        <v>1.3218000000000001</v>
      </c>
      <c r="AL25" s="39">
        <v>1.3218000000000001</v>
      </c>
      <c r="AM25" s="38">
        <v>1.3232999999999999</v>
      </c>
      <c r="AN25" s="39">
        <v>1.3232999999999999</v>
      </c>
      <c r="AO25" s="8" t="s">
        <v>102</v>
      </c>
      <c r="AP25" s="22">
        <f t="shared" si="22"/>
        <v>0</v>
      </c>
      <c r="AQ25" s="22">
        <f t="shared" si="7"/>
        <v>-267574.99999999994</v>
      </c>
      <c r="AR25" s="22">
        <v>-1</v>
      </c>
      <c r="AS25" s="22">
        <v>25000</v>
      </c>
      <c r="AT25" s="71">
        <v>40833</v>
      </c>
      <c r="AU25" s="72">
        <v>3.1505000000000001</v>
      </c>
      <c r="AV25" s="75">
        <v>3.3645</v>
      </c>
      <c r="AW25" s="38">
        <v>3.1555</v>
      </c>
      <c r="AX25" s="39">
        <v>3.1555</v>
      </c>
      <c r="AY25" s="3" t="s">
        <v>140</v>
      </c>
      <c r="AZ25" s="26">
        <f t="shared" si="26"/>
        <v>50000</v>
      </c>
      <c r="BA25" s="24">
        <f t="shared" si="19"/>
        <v>-62875.000000000073</v>
      </c>
      <c r="BB25" s="3">
        <v>-1</v>
      </c>
      <c r="BC25" s="3">
        <v>250</v>
      </c>
      <c r="BD25" s="7"/>
      <c r="BE25" s="3">
        <v>53.25</v>
      </c>
      <c r="BF25" s="3">
        <v>53.5</v>
      </c>
      <c r="BG25" s="7">
        <v>63.35</v>
      </c>
      <c r="BH25" s="3">
        <v>61.15</v>
      </c>
      <c r="BI25" t="s">
        <v>159</v>
      </c>
      <c r="BJ25" s="83">
        <f t="shared" si="14"/>
        <v>25000</v>
      </c>
      <c r="BK25" s="25">
        <f t="shared" si="21"/>
        <v>628409.99999999895</v>
      </c>
      <c r="BL25" s="61">
        <v>1</v>
      </c>
      <c r="BM25" s="25">
        <v>1000</v>
      </c>
      <c r="BO25" s="25">
        <v>86.62</v>
      </c>
      <c r="BP25" s="61">
        <v>97.41</v>
      </c>
      <c r="BQ25" s="25">
        <v>93.32</v>
      </c>
      <c r="BR25" s="61">
        <v>92.4</v>
      </c>
      <c r="BS25" s="3"/>
      <c r="BT25" s="24"/>
      <c r="BU25" s="24"/>
      <c r="BV25" s="3"/>
      <c r="BW25" s="3"/>
      <c r="BY25" s="3"/>
      <c r="CB25" s="24"/>
      <c r="CD25" s="61"/>
      <c r="CH25" s="61"/>
    </row>
    <row r="26" spans="1:86" s="25" customFormat="1" x14ac:dyDescent="0.2">
      <c r="A26" s="80">
        <v>40868</v>
      </c>
      <c r="B26" s="8" t="s">
        <v>28</v>
      </c>
      <c r="C26" s="8" t="s">
        <v>141</v>
      </c>
      <c r="D26" s="57">
        <f t="shared" si="0"/>
        <v>1323614.9999999986</v>
      </c>
      <c r="E26" s="44">
        <f t="shared" si="9"/>
        <v>57500</v>
      </c>
      <c r="F26" s="44">
        <f t="shared" si="10"/>
        <v>381114.99999999872</v>
      </c>
      <c r="G26" s="9" t="s">
        <v>41</v>
      </c>
      <c r="H26" s="22">
        <f>4*4000*IF(ISBLANK(L26),1,0)</f>
        <v>0</v>
      </c>
      <c r="I26" s="22">
        <f t="shared" si="25"/>
        <v>3750.0000000000091</v>
      </c>
      <c r="J26" s="22">
        <v>1</v>
      </c>
      <c r="K26" s="22">
        <v>125000</v>
      </c>
      <c r="L26" s="29">
        <v>40833</v>
      </c>
      <c r="M26" s="22">
        <v>1.3655999999999999</v>
      </c>
      <c r="N26" s="35">
        <v>1.3734999999999999</v>
      </c>
      <c r="O26" s="9" t="s">
        <v>174</v>
      </c>
      <c r="P26" s="22">
        <f t="shared" si="2"/>
        <v>0</v>
      </c>
      <c r="Q26" s="22">
        <f t="shared" si="3"/>
        <v>55950.000000000065</v>
      </c>
      <c r="R26" s="22">
        <v>-1</v>
      </c>
      <c r="S26" s="22">
        <v>250</v>
      </c>
      <c r="T26" s="37">
        <v>40819</v>
      </c>
      <c r="U26" s="38">
        <v>1191.9000000000001</v>
      </c>
      <c r="V26" s="39">
        <v>1079.8</v>
      </c>
      <c r="W26" s="9" t="s">
        <v>178</v>
      </c>
      <c r="X26" s="22">
        <f>8*6000*IF(ISBLANK(AB26),1,0)</f>
        <v>0</v>
      </c>
      <c r="Y26" s="65">
        <f t="shared" si="24"/>
        <v>479.99999999999545</v>
      </c>
      <c r="Z26" s="22">
        <v>1</v>
      </c>
      <c r="AA26" s="22">
        <v>1000</v>
      </c>
      <c r="AB26" s="64">
        <v>40833</v>
      </c>
      <c r="AC26" s="40">
        <v>86.51</v>
      </c>
      <c r="AD26" s="39">
        <v>86.62</v>
      </c>
      <c r="AE26" s="8" t="s">
        <v>171</v>
      </c>
      <c r="AF26" s="22">
        <f t="shared" si="20"/>
        <v>7500</v>
      </c>
      <c r="AG26" s="22">
        <f t="shared" si="6"/>
        <v>16799.999999999531</v>
      </c>
      <c r="AH26" s="22">
        <v>1</v>
      </c>
      <c r="AI26" s="22">
        <v>125000</v>
      </c>
      <c r="AJ26" s="22"/>
      <c r="AK26" s="68">
        <v>1.3218000000000001</v>
      </c>
      <c r="AL26" s="69">
        <v>1.3731</v>
      </c>
      <c r="AM26" s="68">
        <v>1.3232999999999999</v>
      </c>
      <c r="AN26" s="69">
        <v>1.3718999999999999</v>
      </c>
      <c r="AO26" s="84" t="s">
        <v>198</v>
      </c>
      <c r="AP26" s="22">
        <f t="shared" si="22"/>
        <v>0</v>
      </c>
      <c r="AQ26" s="22">
        <f t="shared" si="7"/>
        <v>55550.000000000255</v>
      </c>
      <c r="AR26" s="22">
        <v>-1</v>
      </c>
      <c r="AS26" s="22">
        <v>25000</v>
      </c>
      <c r="AT26" s="70" t="s">
        <v>180</v>
      </c>
      <c r="AU26" s="72">
        <v>3.1505000000000001</v>
      </c>
      <c r="AV26" s="75">
        <v>3.3029999999999999</v>
      </c>
      <c r="AW26" s="74">
        <v>3.1555</v>
      </c>
      <c r="AX26" s="73">
        <v>3.3525</v>
      </c>
      <c r="AY26" s="3" t="s">
        <v>140</v>
      </c>
      <c r="AZ26" s="26">
        <f t="shared" si="26"/>
        <v>50000</v>
      </c>
      <c r="BA26" s="24">
        <f t="shared" si="19"/>
        <v>-62875.000000000073</v>
      </c>
      <c r="BB26" s="3">
        <v>-1</v>
      </c>
      <c r="BC26" s="3">
        <v>250</v>
      </c>
      <c r="BD26" s="8"/>
      <c r="BE26" s="3">
        <v>53.25</v>
      </c>
      <c r="BF26" s="3">
        <v>53.5</v>
      </c>
      <c r="BG26" s="7">
        <v>63.35</v>
      </c>
      <c r="BH26" s="3">
        <v>61.15</v>
      </c>
      <c r="BI26" s="81" t="s">
        <v>194</v>
      </c>
      <c r="BJ26" s="83">
        <f t="shared" si="14"/>
        <v>0</v>
      </c>
      <c r="BK26" s="25">
        <f t="shared" si="21"/>
        <v>628409.99999999895</v>
      </c>
      <c r="BL26" s="61">
        <v>1</v>
      </c>
      <c r="BM26" s="25">
        <v>1000</v>
      </c>
      <c r="BN26" s="25" t="s">
        <v>180</v>
      </c>
      <c r="BO26" s="25">
        <v>86.62</v>
      </c>
      <c r="BP26" s="61">
        <v>97.41</v>
      </c>
      <c r="BQ26" s="25">
        <v>93.32</v>
      </c>
      <c r="BR26" s="61">
        <v>92.4</v>
      </c>
      <c r="BS26" s="3" t="s">
        <v>189</v>
      </c>
      <c r="BT26" s="24">
        <f t="shared" si="15"/>
        <v>0</v>
      </c>
      <c r="BU26" s="24">
        <f t="shared" si="16"/>
        <v>-234750</v>
      </c>
      <c r="BV26" s="3">
        <v>1</v>
      </c>
      <c r="BW26" s="3">
        <v>250</v>
      </c>
      <c r="BY26" s="3">
        <v>37.4</v>
      </c>
      <c r="CA26" s="25" t="s">
        <v>187</v>
      </c>
      <c r="CB26" s="24">
        <f t="shared" si="17"/>
        <v>0</v>
      </c>
      <c r="CC26" s="25">
        <f t="shared" si="18"/>
        <v>-82200</v>
      </c>
      <c r="CD26" s="25">
        <v>1</v>
      </c>
      <c r="CE26" s="25">
        <v>1000</v>
      </c>
      <c r="CG26" s="25">
        <v>2.5499999999999998</v>
      </c>
      <c r="CH26" s="61">
        <v>5.63</v>
      </c>
    </row>
    <row r="27" spans="1:86" s="25" customFormat="1" x14ac:dyDescent="0.2">
      <c r="A27" s="91">
        <v>40875</v>
      </c>
      <c r="B27" s="8" t="s">
        <v>142</v>
      </c>
      <c r="C27" s="8" t="s">
        <v>143</v>
      </c>
      <c r="D27" s="57">
        <f t="shared" si="0"/>
        <v>1116305.0000000005</v>
      </c>
      <c r="E27" s="44">
        <f t="shared" si="9"/>
        <v>40000</v>
      </c>
      <c r="F27" s="44">
        <f t="shared" si="10"/>
        <v>156305.00000000047</v>
      </c>
      <c r="G27" s="9" t="s">
        <v>42</v>
      </c>
      <c r="H27" s="22">
        <f>4*4000*IF(ISBLANK(L27),1,0)</f>
        <v>0</v>
      </c>
      <c r="I27" s="22">
        <f t="shared" si="25"/>
        <v>21749.999999999913</v>
      </c>
      <c r="J27" s="22">
        <v>-1</v>
      </c>
      <c r="K27" s="22">
        <v>125000</v>
      </c>
      <c r="L27" s="29">
        <v>40833</v>
      </c>
      <c r="M27" s="22">
        <v>1.3655999999999999</v>
      </c>
      <c r="N27" s="35">
        <v>1.3217000000000001</v>
      </c>
      <c r="O27" s="9" t="s">
        <v>93</v>
      </c>
      <c r="P27" s="22">
        <f t="shared" si="2"/>
        <v>40000</v>
      </c>
      <c r="Q27" s="22">
        <f t="shared" si="3"/>
        <v>-56150.000000000065</v>
      </c>
      <c r="R27" s="22">
        <v>1</v>
      </c>
      <c r="S27" s="22">
        <v>250</v>
      </c>
      <c r="T27" s="33"/>
      <c r="U27" s="38">
        <v>1191.9000000000001</v>
      </c>
      <c r="V27" s="39">
        <v>1079.8</v>
      </c>
      <c r="W27" s="9" t="s">
        <v>178</v>
      </c>
      <c r="X27" s="22">
        <f>8*6000*IF(ISBLANK(AB27),1,0)</f>
        <v>0</v>
      </c>
      <c r="Y27" s="65">
        <f t="shared" si="24"/>
        <v>-66480.000000000044</v>
      </c>
      <c r="Z27" s="22">
        <v>1</v>
      </c>
      <c r="AA27" s="22">
        <v>1000</v>
      </c>
      <c r="AB27" s="64">
        <v>40833</v>
      </c>
      <c r="AC27" s="40">
        <v>86.51</v>
      </c>
      <c r="AD27" s="39">
        <v>78.25</v>
      </c>
      <c r="AE27" s="8" t="s">
        <v>72</v>
      </c>
      <c r="AF27" s="22">
        <f t="shared" si="20"/>
        <v>0</v>
      </c>
      <c r="AG27" s="22">
        <f t="shared" si="6"/>
        <v>-1949.9999999984057</v>
      </c>
      <c r="AH27" s="22">
        <v>-1</v>
      </c>
      <c r="AI27" s="22">
        <v>125000</v>
      </c>
      <c r="AJ27" s="65" t="s">
        <v>127</v>
      </c>
      <c r="AK27" s="66">
        <v>1.3218000000000001</v>
      </c>
      <c r="AL27" s="67">
        <v>1.3718999999999999</v>
      </c>
      <c r="AM27" s="66">
        <v>1.3232999999999999</v>
      </c>
      <c r="AN27" s="67">
        <v>1.3731</v>
      </c>
      <c r="AO27" s="8" t="s">
        <v>102</v>
      </c>
      <c r="AP27" s="22">
        <f t="shared" si="22"/>
        <v>0</v>
      </c>
      <c r="AQ27" s="22">
        <f t="shared" si="7"/>
        <v>10550.000000000218</v>
      </c>
      <c r="AR27" s="22">
        <v>-1</v>
      </c>
      <c r="AS27" s="22">
        <v>25000</v>
      </c>
      <c r="AT27" s="71">
        <v>40833</v>
      </c>
      <c r="AU27" s="72">
        <v>3.1505000000000001</v>
      </c>
      <c r="AV27" s="75">
        <v>3.3645</v>
      </c>
      <c r="AW27" s="74">
        <v>3.1555</v>
      </c>
      <c r="AX27" s="73">
        <v>3.3780000000000001</v>
      </c>
      <c r="AY27" s="3" t="s">
        <v>140</v>
      </c>
      <c r="AZ27" s="26">
        <f t="shared" si="26"/>
        <v>0</v>
      </c>
      <c r="BA27" s="24">
        <f t="shared" si="19"/>
        <v>-62875.000000000073</v>
      </c>
      <c r="BB27" s="3">
        <v>-1</v>
      </c>
      <c r="BC27" s="3">
        <v>250</v>
      </c>
      <c r="BD27" s="3" t="s">
        <v>180</v>
      </c>
      <c r="BE27" s="3">
        <v>53.25</v>
      </c>
      <c r="BF27" s="3">
        <v>53.5</v>
      </c>
      <c r="BG27" s="7">
        <v>63.35</v>
      </c>
      <c r="BH27" s="3">
        <v>61.15</v>
      </c>
      <c r="BI27" t="s">
        <v>159</v>
      </c>
      <c r="BJ27" s="83">
        <f t="shared" si="14"/>
        <v>0</v>
      </c>
      <c r="BK27" s="25">
        <f t="shared" si="21"/>
        <v>628409.99999999895</v>
      </c>
      <c r="BL27" s="61">
        <v>1</v>
      </c>
      <c r="BM27" s="25">
        <v>1000</v>
      </c>
      <c r="BN27" s="25" t="s">
        <v>180</v>
      </c>
      <c r="BO27" s="25">
        <v>86.62</v>
      </c>
      <c r="BP27" s="61">
        <v>97.41</v>
      </c>
      <c r="BQ27" s="25">
        <v>93.32</v>
      </c>
      <c r="BR27" s="61">
        <v>92.4</v>
      </c>
      <c r="BS27" s="3" t="s">
        <v>189</v>
      </c>
      <c r="BT27" s="24">
        <f t="shared" si="15"/>
        <v>0</v>
      </c>
      <c r="BU27" s="24">
        <f t="shared" si="16"/>
        <v>-234750</v>
      </c>
      <c r="BV27" s="3">
        <v>1</v>
      </c>
      <c r="BW27" s="3">
        <v>250</v>
      </c>
      <c r="BY27" s="3">
        <v>37.4</v>
      </c>
      <c r="CA27" s="25" t="s">
        <v>187</v>
      </c>
      <c r="CB27" s="24">
        <f t="shared" si="17"/>
        <v>0</v>
      </c>
      <c r="CC27" s="25">
        <f t="shared" si="18"/>
        <v>-82200</v>
      </c>
      <c r="CD27" s="61">
        <v>1</v>
      </c>
      <c r="CE27" s="61">
        <v>1000</v>
      </c>
      <c r="CG27" s="61">
        <v>2.5499999999999998</v>
      </c>
      <c r="CH27" s="61">
        <v>5.63</v>
      </c>
    </row>
    <row r="28" spans="1:86" s="25" customFormat="1" x14ac:dyDescent="0.2">
      <c r="A28" s="80">
        <v>40868</v>
      </c>
      <c r="B28" s="8" t="s">
        <v>144</v>
      </c>
      <c r="C28" s="8" t="s">
        <v>145</v>
      </c>
      <c r="D28" s="57">
        <f t="shared" si="0"/>
        <v>1045519.9999999972</v>
      </c>
      <c r="E28" s="44">
        <f t="shared" si="9"/>
        <v>100400</v>
      </c>
      <c r="F28" s="44">
        <f t="shared" si="10"/>
        <v>145919.99999999721</v>
      </c>
      <c r="G28" s="9" t="s">
        <v>43</v>
      </c>
      <c r="H28" s="22">
        <f>4*2600*IF(ISBLANK(L28),1,0)</f>
        <v>10400</v>
      </c>
      <c r="I28" s="22">
        <f t="shared" si="25"/>
        <v>10200.000000000009</v>
      </c>
      <c r="J28" s="22">
        <v>-1</v>
      </c>
      <c r="K28" s="22">
        <v>100000</v>
      </c>
      <c r="L28" s="29"/>
      <c r="M28" s="22">
        <v>0.99019999999999997</v>
      </c>
      <c r="N28" s="35">
        <v>0.96419999999999995</v>
      </c>
      <c r="O28" s="9" t="s">
        <v>89</v>
      </c>
      <c r="P28" s="22">
        <f t="shared" si="2"/>
        <v>40000</v>
      </c>
      <c r="Q28" s="22">
        <f t="shared" si="3"/>
        <v>3400</v>
      </c>
      <c r="R28" s="22">
        <v>-1</v>
      </c>
      <c r="S28" s="22">
        <v>250</v>
      </c>
      <c r="T28" s="33"/>
      <c r="U28" s="38">
        <v>1191.9000000000001</v>
      </c>
      <c r="V28" s="39">
        <v>1184.9000000000001</v>
      </c>
      <c r="W28" s="84" t="s">
        <v>211</v>
      </c>
      <c r="X28" s="22">
        <f>8*6000*IF(ISBLANK(AB28),1,0)</f>
        <v>0</v>
      </c>
      <c r="Y28" s="60">
        <f>8*(-50+AA28*((AD28-AC28)*Z28))*IF(W28="N/A",0,1)</f>
        <v>-84239.999999999913</v>
      </c>
      <c r="Z28" s="22">
        <v>-1</v>
      </c>
      <c r="AA28" s="22">
        <v>1000</v>
      </c>
      <c r="AB28" s="33" t="s">
        <v>180</v>
      </c>
      <c r="AC28" s="40">
        <v>86.51</v>
      </c>
      <c r="AD28" s="39">
        <v>96.99</v>
      </c>
      <c r="AE28" s="84" t="s">
        <v>203</v>
      </c>
      <c r="AF28" s="22">
        <f t="shared" si="20"/>
        <v>0</v>
      </c>
      <c r="AG28" s="22">
        <f t="shared" si="6"/>
        <v>-20700.000000001892</v>
      </c>
      <c r="AH28" s="22">
        <v>1</v>
      </c>
      <c r="AI28" s="22">
        <v>125000</v>
      </c>
      <c r="AJ28" s="29" t="s">
        <v>204</v>
      </c>
      <c r="AK28" s="38">
        <v>1.3218000000000001</v>
      </c>
      <c r="AL28" s="39">
        <v>1.3512</v>
      </c>
      <c r="AM28" s="38">
        <v>1.3232999999999999</v>
      </c>
      <c r="AN28" s="39">
        <v>1.3560000000000001</v>
      </c>
      <c r="AO28" s="84" t="s">
        <v>198</v>
      </c>
      <c r="AP28" s="22">
        <f t="shared" si="22"/>
        <v>0</v>
      </c>
      <c r="AQ28" s="22">
        <f t="shared" si="7"/>
        <v>-11324.999999999871</v>
      </c>
      <c r="AR28" s="22">
        <v>-1</v>
      </c>
      <c r="AS28" s="22">
        <v>25000</v>
      </c>
      <c r="AT28" s="70" t="s">
        <v>180</v>
      </c>
      <c r="AU28" s="38">
        <v>3.1505000000000001</v>
      </c>
      <c r="AV28" s="90">
        <v>3.3029999999999999</v>
      </c>
      <c r="AW28" s="22">
        <v>3.1555</v>
      </c>
      <c r="AX28" s="35">
        <v>3.2989999999999999</v>
      </c>
      <c r="AY28" s="3" t="s">
        <v>140</v>
      </c>
      <c r="AZ28" s="26">
        <f t="shared" si="26"/>
        <v>50000</v>
      </c>
      <c r="BA28" s="24">
        <f t="shared" si="19"/>
        <v>-62875.000000000073</v>
      </c>
      <c r="BB28" s="3">
        <v>-1</v>
      </c>
      <c r="BC28" s="3">
        <v>250</v>
      </c>
      <c r="BD28" s="3"/>
      <c r="BE28" s="3">
        <v>53.25</v>
      </c>
      <c r="BF28" s="3">
        <v>53.5</v>
      </c>
      <c r="BG28" s="7">
        <v>63.35</v>
      </c>
      <c r="BH28" s="3">
        <v>61.15</v>
      </c>
      <c r="BI28" s="81" t="s">
        <v>194</v>
      </c>
      <c r="BJ28" s="83">
        <f t="shared" si="14"/>
        <v>0</v>
      </c>
      <c r="BK28" s="25">
        <f t="shared" si="21"/>
        <v>628409.99999999895</v>
      </c>
      <c r="BL28" s="61">
        <v>1</v>
      </c>
      <c r="BM28" s="25">
        <v>1000</v>
      </c>
      <c r="BN28" s="61" t="s">
        <v>180</v>
      </c>
      <c r="BO28" s="25">
        <v>86.62</v>
      </c>
      <c r="BP28" s="61">
        <v>97.41</v>
      </c>
      <c r="BQ28" s="25">
        <v>93.32</v>
      </c>
      <c r="BR28" s="61">
        <v>92.4</v>
      </c>
      <c r="BS28" s="3" t="s">
        <v>189</v>
      </c>
      <c r="BT28" s="24">
        <f t="shared" si="15"/>
        <v>0</v>
      </c>
      <c r="BU28" s="24">
        <f t="shared" si="16"/>
        <v>-234750</v>
      </c>
      <c r="BV28" s="3">
        <v>1</v>
      </c>
      <c r="BW28" s="3">
        <v>250</v>
      </c>
      <c r="BY28" s="3">
        <v>37.4</v>
      </c>
      <c r="CA28" s="25" t="s">
        <v>187</v>
      </c>
      <c r="CB28" s="24">
        <f t="shared" ref="CB28" si="27">0*IF(ISBLANK(CF28),1,0)</f>
        <v>0</v>
      </c>
      <c r="CC28" s="25">
        <f t="shared" ref="CC28" si="28" xml:space="preserve"> -400-((CG28+CH28)*CE28*CD28*10)</f>
        <v>-82200</v>
      </c>
      <c r="CD28" s="25">
        <v>1</v>
      </c>
      <c r="CE28" s="25">
        <v>1000</v>
      </c>
      <c r="CG28" s="25">
        <v>2.5499999999999998</v>
      </c>
      <c r="CH28" s="61">
        <v>5.63</v>
      </c>
    </row>
    <row r="29" spans="1:86" s="25" customFormat="1" x14ac:dyDescent="0.2">
      <c r="A29" s="80">
        <v>40868</v>
      </c>
      <c r="B29" s="8" t="s">
        <v>146</v>
      </c>
      <c r="C29" s="8" t="s">
        <v>147</v>
      </c>
      <c r="D29" s="57">
        <f t="shared" si="0"/>
        <v>1213494.9999999986</v>
      </c>
      <c r="E29" s="44">
        <f t="shared" si="9"/>
        <v>11250</v>
      </c>
      <c r="F29" s="44">
        <f t="shared" si="10"/>
        <v>224744.99999999849</v>
      </c>
      <c r="G29" s="9" t="s">
        <v>132</v>
      </c>
      <c r="H29" s="22">
        <f>4*2600*IF(ISBLANK(#REF!),1,0)</f>
        <v>0</v>
      </c>
      <c r="I29" s="22">
        <f t="shared" si="25"/>
        <v>22879.999999999989</v>
      </c>
      <c r="J29" s="22">
        <v>-1</v>
      </c>
      <c r="K29" s="22">
        <v>100000</v>
      </c>
      <c r="L29" s="29">
        <v>40819</v>
      </c>
      <c r="M29" s="22">
        <v>0.99019999999999997</v>
      </c>
      <c r="N29" s="35">
        <v>0.9325</v>
      </c>
      <c r="O29" s="9" t="s">
        <v>108</v>
      </c>
      <c r="P29" s="22">
        <f t="shared" si="2"/>
        <v>0</v>
      </c>
      <c r="Q29" s="22">
        <f t="shared" si="3"/>
        <v>-56150.000000000065</v>
      </c>
      <c r="R29" s="22">
        <v>1</v>
      </c>
      <c r="S29" s="22">
        <v>250</v>
      </c>
      <c r="T29" s="37">
        <v>40819</v>
      </c>
      <c r="U29" s="38">
        <v>1191.9000000000001</v>
      </c>
      <c r="V29" s="39">
        <v>1079.8</v>
      </c>
      <c r="W29" s="9" t="s">
        <v>175</v>
      </c>
      <c r="X29" s="22">
        <f>8*2750*IF(ISBLANK(AB29),1,0)</f>
        <v>0</v>
      </c>
      <c r="Y29" s="36">
        <f t="shared" ref="Y29:Y37" si="29">8*(-50+AA29*(AD29-AC29))*IF(W29="N/A",0,1)</f>
        <v>-17920.000000000025</v>
      </c>
      <c r="Z29" s="22">
        <v>1</v>
      </c>
      <c r="AA29" s="22">
        <v>10000</v>
      </c>
      <c r="AB29" s="37">
        <v>40819</v>
      </c>
      <c r="AC29" s="40">
        <v>4.327</v>
      </c>
      <c r="AD29" s="39">
        <v>4.1079999999999997</v>
      </c>
      <c r="AE29" s="8" t="s">
        <v>171</v>
      </c>
      <c r="AF29" s="22">
        <f t="shared" si="20"/>
        <v>7500</v>
      </c>
      <c r="AG29" s="22">
        <f t="shared" si="6"/>
        <v>16799.999999999531</v>
      </c>
      <c r="AH29" s="22">
        <v>1</v>
      </c>
      <c r="AI29" s="22">
        <v>125000</v>
      </c>
      <c r="AJ29" s="22"/>
      <c r="AK29" s="68">
        <v>1.3218000000000001</v>
      </c>
      <c r="AL29" s="69">
        <v>1.3731</v>
      </c>
      <c r="AM29" s="68">
        <v>1.3232999999999999</v>
      </c>
      <c r="AN29" s="69">
        <v>1.3718999999999999</v>
      </c>
      <c r="AO29" s="8" t="s">
        <v>102</v>
      </c>
      <c r="AP29" s="22">
        <f t="shared" si="22"/>
        <v>3750</v>
      </c>
      <c r="AQ29" s="22">
        <f t="shared" si="7"/>
        <v>10550.000000000218</v>
      </c>
      <c r="AR29" s="22">
        <v>-1</v>
      </c>
      <c r="AS29" s="22">
        <v>25000</v>
      </c>
      <c r="AT29" s="70"/>
      <c r="AU29" s="72">
        <v>3.1505000000000001</v>
      </c>
      <c r="AV29" s="75">
        <v>3.3645</v>
      </c>
      <c r="AW29" s="74">
        <v>3.1555</v>
      </c>
      <c r="AX29" s="73">
        <v>3.3780000000000001</v>
      </c>
      <c r="AY29" s="85" t="s">
        <v>193</v>
      </c>
      <c r="AZ29" s="26">
        <f t="shared" si="26"/>
        <v>0</v>
      </c>
      <c r="BA29" s="24">
        <f t="shared" si="19"/>
        <v>-62875.000000000073</v>
      </c>
      <c r="BB29" s="3">
        <v>-1</v>
      </c>
      <c r="BC29" s="3">
        <v>250</v>
      </c>
      <c r="BD29" s="3" t="s">
        <v>180</v>
      </c>
      <c r="BE29" s="3">
        <v>53.25</v>
      </c>
      <c r="BF29" s="3">
        <v>53.5</v>
      </c>
      <c r="BG29" s="7">
        <v>63.35</v>
      </c>
      <c r="BH29" s="3">
        <v>61.15</v>
      </c>
      <c r="BI29" s="81" t="s">
        <v>194</v>
      </c>
      <c r="BJ29" s="83">
        <f t="shared" si="14"/>
        <v>0</v>
      </c>
      <c r="BK29" s="25">
        <f t="shared" si="21"/>
        <v>628409.99999999895</v>
      </c>
      <c r="BL29" s="61">
        <v>1</v>
      </c>
      <c r="BM29" s="25">
        <v>1000</v>
      </c>
      <c r="BN29" s="25" t="s">
        <v>180</v>
      </c>
      <c r="BO29" s="25">
        <v>86.62</v>
      </c>
      <c r="BP29" s="61">
        <v>97.41</v>
      </c>
      <c r="BQ29" s="25">
        <v>93.32</v>
      </c>
      <c r="BR29" s="61">
        <v>92.4</v>
      </c>
      <c r="BS29" s="3" t="s">
        <v>189</v>
      </c>
      <c r="BT29" s="24">
        <f t="shared" si="15"/>
        <v>0</v>
      </c>
      <c r="BU29" s="24">
        <f t="shared" si="16"/>
        <v>-234750</v>
      </c>
      <c r="BV29" s="3">
        <v>1</v>
      </c>
      <c r="BW29" s="3">
        <v>250</v>
      </c>
      <c r="BY29" s="3">
        <v>37.4</v>
      </c>
      <c r="CA29" s="25" t="s">
        <v>187</v>
      </c>
      <c r="CB29" s="24">
        <f t="shared" si="17"/>
        <v>0</v>
      </c>
      <c r="CC29" s="25">
        <f t="shared" si="18"/>
        <v>-82200</v>
      </c>
      <c r="CD29" s="25">
        <v>1</v>
      </c>
      <c r="CE29" s="25">
        <v>1000</v>
      </c>
      <c r="CG29" s="25">
        <v>2.5499999999999998</v>
      </c>
      <c r="CH29" s="61">
        <v>5.63</v>
      </c>
    </row>
    <row r="30" spans="1:86" s="25" customFormat="1" x14ac:dyDescent="0.2">
      <c r="A30" s="80">
        <v>40868</v>
      </c>
      <c r="B30" s="62" t="s">
        <v>148</v>
      </c>
      <c r="C30" s="62" t="s">
        <v>149</v>
      </c>
      <c r="D30" s="57">
        <f t="shared" si="0"/>
        <v>1041504.999999999</v>
      </c>
      <c r="E30" s="44">
        <f t="shared" si="9"/>
        <v>174250</v>
      </c>
      <c r="F30" s="44">
        <f t="shared" si="10"/>
        <v>215754.99999999895</v>
      </c>
      <c r="G30" s="9" t="s">
        <v>41</v>
      </c>
      <c r="H30" s="22">
        <f>4*4000*IF(ISBLANK(L29),1,0)</f>
        <v>0</v>
      </c>
      <c r="I30" s="22">
        <f t="shared" si="25"/>
        <v>-22149.999999999913</v>
      </c>
      <c r="J30" s="22">
        <v>1</v>
      </c>
      <c r="K30" s="22">
        <v>125000</v>
      </c>
      <c r="L30" s="29"/>
      <c r="M30" s="22">
        <v>1.3655999999999999</v>
      </c>
      <c r="N30" s="35">
        <v>1.3217000000000001</v>
      </c>
      <c r="O30" s="9" t="s">
        <v>89</v>
      </c>
      <c r="P30" s="22">
        <f t="shared" si="2"/>
        <v>40000</v>
      </c>
      <c r="Q30" s="22">
        <f t="shared" si="3"/>
        <v>55950.000000000065</v>
      </c>
      <c r="R30" s="22">
        <v>-1</v>
      </c>
      <c r="S30" s="22">
        <v>250</v>
      </c>
      <c r="T30" s="33"/>
      <c r="U30" s="38">
        <v>1191.9000000000001</v>
      </c>
      <c r="V30" s="39">
        <v>1079.8</v>
      </c>
      <c r="W30" s="9" t="s">
        <v>178</v>
      </c>
      <c r="X30" s="22">
        <f>8*6000*IF(ISBLANK(AB30),1,0)</f>
        <v>48000</v>
      </c>
      <c r="Y30" s="36">
        <f t="shared" si="29"/>
        <v>-66480.000000000044</v>
      </c>
      <c r="Z30" s="22">
        <v>1</v>
      </c>
      <c r="AA30" s="22">
        <v>1000</v>
      </c>
      <c r="AB30" s="33"/>
      <c r="AC30" s="40">
        <v>86.51</v>
      </c>
      <c r="AD30" s="39">
        <v>78.25</v>
      </c>
      <c r="AE30" s="8" t="s">
        <v>171</v>
      </c>
      <c r="AF30" s="22">
        <f t="shared" si="20"/>
        <v>7500</v>
      </c>
      <c r="AG30" s="22">
        <f t="shared" si="6"/>
        <v>-75</v>
      </c>
      <c r="AH30" s="22">
        <v>1</v>
      </c>
      <c r="AI30" s="22">
        <v>125000</v>
      </c>
      <c r="AJ30" s="22"/>
      <c r="AK30" s="38">
        <v>1.3218000000000001</v>
      </c>
      <c r="AL30" s="39">
        <v>1.3218000000000001</v>
      </c>
      <c r="AM30" s="38">
        <v>1.3232999999999999</v>
      </c>
      <c r="AN30" s="39">
        <v>1.3232999999999999</v>
      </c>
      <c r="AO30" s="8" t="s">
        <v>114</v>
      </c>
      <c r="AP30" s="22">
        <f t="shared" si="22"/>
        <v>3750</v>
      </c>
      <c r="AQ30" s="22">
        <f t="shared" si="7"/>
        <v>-75</v>
      </c>
      <c r="AR30" s="22">
        <v>1</v>
      </c>
      <c r="AS30" s="22">
        <v>25000</v>
      </c>
      <c r="AT30" s="70"/>
      <c r="AU30" s="38">
        <v>3.1505000000000001</v>
      </c>
      <c r="AV30" s="39">
        <v>3.1505000000000001</v>
      </c>
      <c r="AW30" s="22">
        <v>3.1555</v>
      </c>
      <c r="AX30" s="35">
        <v>3.1555</v>
      </c>
      <c r="AY30" s="3" t="s">
        <v>140</v>
      </c>
      <c r="AZ30" s="26">
        <f t="shared" si="26"/>
        <v>50000</v>
      </c>
      <c r="BA30" s="24">
        <f t="shared" si="19"/>
        <v>-62875.000000000073</v>
      </c>
      <c r="BB30" s="3">
        <v>-1</v>
      </c>
      <c r="BC30" s="3">
        <v>250</v>
      </c>
      <c r="BD30" s="3"/>
      <c r="BE30" s="3">
        <v>53.25</v>
      </c>
      <c r="BF30" s="3">
        <v>53.5</v>
      </c>
      <c r="BG30" s="7">
        <v>63.35</v>
      </c>
      <c r="BH30" s="3">
        <v>61.15</v>
      </c>
      <c r="BI30" t="s">
        <v>159</v>
      </c>
      <c r="BJ30" s="83">
        <f t="shared" si="14"/>
        <v>25000</v>
      </c>
      <c r="BK30" s="25">
        <f t="shared" si="21"/>
        <v>628409.99999999895</v>
      </c>
      <c r="BL30" s="61">
        <v>1</v>
      </c>
      <c r="BM30" s="25">
        <v>1000</v>
      </c>
      <c r="BO30" s="25">
        <v>86.62</v>
      </c>
      <c r="BP30" s="61">
        <v>97.41</v>
      </c>
      <c r="BQ30" s="25">
        <v>93.32</v>
      </c>
      <c r="BR30" s="61">
        <v>92.4</v>
      </c>
      <c r="BS30" s="3" t="s">
        <v>186</v>
      </c>
      <c r="BT30" s="24">
        <f t="shared" si="15"/>
        <v>0</v>
      </c>
      <c r="BU30" s="24">
        <f t="shared" si="16"/>
        <v>-234750</v>
      </c>
      <c r="BV30" s="3">
        <v>1</v>
      </c>
      <c r="BW30" s="3">
        <v>250</v>
      </c>
      <c r="BY30" s="3">
        <v>37.4</v>
      </c>
      <c r="CA30" s="25" t="s">
        <v>187</v>
      </c>
      <c r="CB30" s="24">
        <f t="shared" si="17"/>
        <v>0</v>
      </c>
      <c r="CC30" s="25">
        <f t="shared" si="18"/>
        <v>-82200</v>
      </c>
      <c r="CD30" s="25">
        <v>1</v>
      </c>
      <c r="CE30" s="25">
        <v>1000</v>
      </c>
      <c r="CG30" s="25">
        <v>2.5499999999999998</v>
      </c>
      <c r="CH30" s="61">
        <v>5.63</v>
      </c>
    </row>
    <row r="31" spans="1:86" s="25" customFormat="1" x14ac:dyDescent="0.2">
      <c r="A31" s="80">
        <v>40868</v>
      </c>
      <c r="B31" s="8" t="s">
        <v>150</v>
      </c>
      <c r="C31" s="8" t="s">
        <v>151</v>
      </c>
      <c r="D31" s="57">
        <f>1000000-E31+F31</f>
        <v>1280934.9999999986</v>
      </c>
      <c r="E31" s="44">
        <f t="shared" si="9"/>
        <v>0</v>
      </c>
      <c r="F31" s="44">
        <f t="shared" si="10"/>
        <v>280934.9999999986</v>
      </c>
      <c r="G31" s="84" t="s">
        <v>192</v>
      </c>
      <c r="H31" s="22">
        <f>4*4000*IF(ISBLANK(L31),1,0)</f>
        <v>0</v>
      </c>
      <c r="I31" s="22">
        <f>4*(-50+J31*K31*(N31-M31))</f>
        <v>7800.0000000000073</v>
      </c>
      <c r="J31" s="22">
        <v>-1</v>
      </c>
      <c r="K31" s="22">
        <v>125000</v>
      </c>
      <c r="L31" s="29" t="s">
        <v>180</v>
      </c>
      <c r="M31" s="22">
        <v>1.3655999999999999</v>
      </c>
      <c r="N31" s="35">
        <v>1.3495999999999999</v>
      </c>
      <c r="O31" s="84" t="s">
        <v>191</v>
      </c>
      <c r="P31" s="22">
        <f t="shared" si="2"/>
        <v>0</v>
      </c>
      <c r="Q31" s="22">
        <f t="shared" si="3"/>
        <v>-89600</v>
      </c>
      <c r="R31" s="22">
        <v>-1</v>
      </c>
      <c r="S31" s="22">
        <v>25</v>
      </c>
      <c r="T31" s="33" t="s">
        <v>180</v>
      </c>
      <c r="U31" s="38">
        <v>9735</v>
      </c>
      <c r="V31" s="39">
        <v>11525</v>
      </c>
      <c r="W31" s="84" t="s">
        <v>190</v>
      </c>
      <c r="X31" s="22">
        <f>8*6000*IF(ISBLANK(AB31),1,0)</f>
        <v>0</v>
      </c>
      <c r="Y31" s="36">
        <f t="shared" si="29"/>
        <v>86799.999999999927</v>
      </c>
      <c r="Z31" s="22">
        <v>1</v>
      </c>
      <c r="AA31" s="22">
        <v>1000</v>
      </c>
      <c r="AB31" s="33" t="s">
        <v>180</v>
      </c>
      <c r="AC31" s="40">
        <v>86.51</v>
      </c>
      <c r="AD31" s="39">
        <v>97.41</v>
      </c>
      <c r="AE31" s="8" t="s">
        <v>171</v>
      </c>
      <c r="AF31" s="22">
        <f t="shared" si="20"/>
        <v>0</v>
      </c>
      <c r="AG31" s="22">
        <f t="shared" si="6"/>
        <v>16799.999999999531</v>
      </c>
      <c r="AH31" s="22">
        <v>1</v>
      </c>
      <c r="AI31" s="22">
        <v>125000</v>
      </c>
      <c r="AJ31" s="29" t="s">
        <v>127</v>
      </c>
      <c r="AK31" s="66">
        <v>1.3218000000000001</v>
      </c>
      <c r="AL31" s="67">
        <v>1.3731</v>
      </c>
      <c r="AM31" s="66">
        <v>1.3232999999999999</v>
      </c>
      <c r="AN31" s="67">
        <v>1.3718999999999999</v>
      </c>
      <c r="AO31" s="8" t="s">
        <v>102</v>
      </c>
      <c r="AP31" s="22">
        <f t="shared" si="22"/>
        <v>0</v>
      </c>
      <c r="AQ31" s="22">
        <f t="shared" si="7"/>
        <v>10550.000000000218</v>
      </c>
      <c r="AR31" s="22">
        <v>-1</v>
      </c>
      <c r="AS31" s="22">
        <v>25000</v>
      </c>
      <c r="AT31" s="71">
        <v>40833</v>
      </c>
      <c r="AU31" s="72">
        <v>3.1505000000000001</v>
      </c>
      <c r="AV31" s="75">
        <v>3.3645</v>
      </c>
      <c r="AW31" s="74">
        <v>3.1555</v>
      </c>
      <c r="AX31" s="73">
        <v>3.3780000000000001</v>
      </c>
      <c r="AY31" s="85" t="s">
        <v>196</v>
      </c>
      <c r="AZ31" s="26">
        <f t="shared" si="26"/>
        <v>0</v>
      </c>
      <c r="BA31" s="24">
        <f t="shared" si="19"/>
        <v>-62875.000000000073</v>
      </c>
      <c r="BB31" s="3">
        <v>-1</v>
      </c>
      <c r="BC31" s="3">
        <v>250</v>
      </c>
      <c r="BD31" s="8" t="s">
        <v>180</v>
      </c>
      <c r="BE31" s="3">
        <v>53.25</v>
      </c>
      <c r="BF31" s="3">
        <v>53.5</v>
      </c>
      <c r="BG31" s="7">
        <v>63.35</v>
      </c>
      <c r="BH31" s="3">
        <v>61.15</v>
      </c>
      <c r="BI31" s="81" t="s">
        <v>194</v>
      </c>
      <c r="BJ31" s="83">
        <f t="shared" si="14"/>
        <v>0</v>
      </c>
      <c r="BK31" s="25">
        <f t="shared" si="21"/>
        <v>628409.99999999895</v>
      </c>
      <c r="BL31" s="61">
        <v>1</v>
      </c>
      <c r="BM31" s="25">
        <v>1000</v>
      </c>
      <c r="BN31" s="82">
        <v>40868</v>
      </c>
      <c r="BO31" s="25">
        <v>86.62</v>
      </c>
      <c r="BP31" s="61">
        <v>97.41</v>
      </c>
      <c r="BQ31" s="25">
        <v>93.32</v>
      </c>
      <c r="BR31" s="61">
        <v>92.4</v>
      </c>
      <c r="BS31" s="3" t="s">
        <v>186</v>
      </c>
      <c r="BT31" s="24">
        <f>0*IF(ISBLANK(BX31),1,0)</f>
        <v>0</v>
      </c>
      <c r="BU31" s="24">
        <f t="shared" si="16"/>
        <v>-234750</v>
      </c>
      <c r="BV31" s="3">
        <v>1</v>
      </c>
      <c r="BW31" s="3">
        <v>250</v>
      </c>
      <c r="BY31" s="3">
        <v>37.4</v>
      </c>
      <c r="CA31" s="25" t="s">
        <v>187</v>
      </c>
      <c r="CB31" s="24">
        <f t="shared" si="17"/>
        <v>0</v>
      </c>
      <c r="CC31" s="25">
        <f t="shared" si="18"/>
        <v>-82200</v>
      </c>
      <c r="CD31" s="25">
        <v>1</v>
      </c>
      <c r="CE31" s="25">
        <v>1000</v>
      </c>
      <c r="CF31" s="82"/>
      <c r="CG31" s="25">
        <v>2.5499999999999998</v>
      </c>
      <c r="CH31" s="61">
        <v>5.63</v>
      </c>
    </row>
    <row r="32" spans="1:86" s="25" customFormat="1" x14ac:dyDescent="0.2">
      <c r="A32" s="80">
        <v>40868</v>
      </c>
      <c r="B32" s="8" t="s">
        <v>152</v>
      </c>
      <c r="C32" s="8" t="s">
        <v>153</v>
      </c>
      <c r="D32" s="57">
        <f t="shared" si="0"/>
        <v>1130774.9999999991</v>
      </c>
      <c r="E32" s="44">
        <f t="shared" si="9"/>
        <v>133450</v>
      </c>
      <c r="F32" s="44">
        <f t="shared" si="10"/>
        <v>264224.99999999895</v>
      </c>
      <c r="G32" s="9" t="s">
        <v>88</v>
      </c>
      <c r="H32" s="22">
        <f>4*1800*IF(ISBLANK(L32),1,0)</f>
        <v>7200</v>
      </c>
      <c r="I32" s="22">
        <f t="shared" si="25"/>
        <v>-22239.999999999971</v>
      </c>
      <c r="J32" s="22">
        <v>1</v>
      </c>
      <c r="K32" s="22">
        <v>100000</v>
      </c>
      <c r="L32" s="29"/>
      <c r="M32" s="22">
        <v>1.0043</v>
      </c>
      <c r="N32" s="35">
        <v>0.94920000000000004</v>
      </c>
      <c r="O32" s="9" t="s">
        <v>89</v>
      </c>
      <c r="P32" s="22">
        <f t="shared" si="2"/>
        <v>40000</v>
      </c>
      <c r="Q32" s="22">
        <f t="shared" si="3"/>
        <v>55950.000000000065</v>
      </c>
      <c r="R32" s="22">
        <v>-1</v>
      </c>
      <c r="S32" s="22">
        <v>250</v>
      </c>
      <c r="T32" s="33"/>
      <c r="U32" s="38">
        <v>1191.9000000000001</v>
      </c>
      <c r="V32" s="39">
        <v>1079.8</v>
      </c>
      <c r="W32" s="9" t="s">
        <v>175</v>
      </c>
      <c r="X32" s="22">
        <f>8*2750*IF(ISBLANK(AB32),1,0)</f>
        <v>0</v>
      </c>
      <c r="Y32" s="36">
        <f t="shared" si="29"/>
        <v>-17920.000000000025</v>
      </c>
      <c r="Z32" s="22">
        <v>1</v>
      </c>
      <c r="AA32" s="22">
        <v>10000</v>
      </c>
      <c r="AB32" s="37">
        <v>40819</v>
      </c>
      <c r="AC32" s="40">
        <v>4.327</v>
      </c>
      <c r="AD32" s="39">
        <v>4.1079999999999997</v>
      </c>
      <c r="AE32" s="8" t="s">
        <v>171</v>
      </c>
      <c r="AF32" s="22">
        <f t="shared" si="20"/>
        <v>7500</v>
      </c>
      <c r="AG32" s="22">
        <f t="shared" si="6"/>
        <v>-75</v>
      </c>
      <c r="AH32" s="22">
        <v>1</v>
      </c>
      <c r="AI32" s="22">
        <v>125000</v>
      </c>
      <c r="AJ32" s="29"/>
      <c r="AK32" s="38">
        <v>1.3218000000000001</v>
      </c>
      <c r="AL32" s="39">
        <v>1.3218000000000001</v>
      </c>
      <c r="AM32" s="38">
        <v>1.3232999999999999</v>
      </c>
      <c r="AN32" s="39">
        <v>1.3232999999999999</v>
      </c>
      <c r="AO32" s="8" t="s">
        <v>102</v>
      </c>
      <c r="AP32" s="22">
        <f t="shared" si="22"/>
        <v>3750</v>
      </c>
      <c r="AQ32" s="22">
        <f t="shared" si="7"/>
        <v>-75</v>
      </c>
      <c r="AR32" s="22">
        <v>-1</v>
      </c>
      <c r="AS32" s="22">
        <v>25000</v>
      </c>
      <c r="AT32" s="70"/>
      <c r="AU32" s="38">
        <v>3.1505000000000001</v>
      </c>
      <c r="AV32" s="39">
        <v>3.1505000000000001</v>
      </c>
      <c r="AW32" s="22">
        <v>3.1555</v>
      </c>
      <c r="AX32" s="35">
        <v>3.1555</v>
      </c>
      <c r="AY32" s="86" t="s">
        <v>195</v>
      </c>
      <c r="AZ32" s="26">
        <f t="shared" si="26"/>
        <v>50000</v>
      </c>
      <c r="BA32" s="24">
        <f t="shared" si="19"/>
        <v>-62875.000000000073</v>
      </c>
      <c r="BB32" s="3">
        <v>-1</v>
      </c>
      <c r="BC32" s="3">
        <v>250</v>
      </c>
      <c r="BD32" s="8"/>
      <c r="BE32" s="3">
        <v>53.25</v>
      </c>
      <c r="BF32" s="3">
        <v>53.5</v>
      </c>
      <c r="BG32" s="7">
        <v>63.35</v>
      </c>
      <c r="BH32" s="3">
        <v>61.15</v>
      </c>
      <c r="BI32" s="87" t="s">
        <v>197</v>
      </c>
      <c r="BJ32" s="83">
        <f t="shared" si="14"/>
        <v>25000</v>
      </c>
      <c r="BK32" s="25">
        <f>-250+BL32*(54*(BP32-BO32)-((BR32-BQ32)*50))*1000</f>
        <v>628409.99999999895</v>
      </c>
      <c r="BL32" s="61">
        <v>1</v>
      </c>
      <c r="BM32" s="25">
        <v>1000</v>
      </c>
      <c r="BO32" s="25">
        <v>86.62</v>
      </c>
      <c r="BP32" s="61">
        <v>97.41</v>
      </c>
      <c r="BQ32" s="25">
        <v>93.32</v>
      </c>
      <c r="BR32" s="61">
        <v>92.4</v>
      </c>
      <c r="BS32" s="3" t="s">
        <v>189</v>
      </c>
      <c r="BT32" s="24">
        <f t="shared" si="15"/>
        <v>0</v>
      </c>
      <c r="BU32" s="24">
        <f t="shared" si="16"/>
        <v>-234750</v>
      </c>
      <c r="BV32" s="3">
        <v>1</v>
      </c>
      <c r="BW32" s="3">
        <v>250</v>
      </c>
      <c r="BY32" s="3">
        <v>37.4</v>
      </c>
      <c r="CA32" s="25" t="s">
        <v>187</v>
      </c>
      <c r="CB32" s="24">
        <f t="shared" si="17"/>
        <v>0</v>
      </c>
      <c r="CC32" s="25">
        <f t="shared" si="18"/>
        <v>-82200</v>
      </c>
      <c r="CD32" s="25">
        <v>1</v>
      </c>
      <c r="CE32" s="25">
        <v>1000</v>
      </c>
      <c r="CG32" s="25">
        <v>2.5499999999999998</v>
      </c>
      <c r="CH32" s="61">
        <v>5.63</v>
      </c>
    </row>
    <row r="33" spans="1:86" s="25" customFormat="1" x14ac:dyDescent="0.2">
      <c r="A33" s="80">
        <v>40868</v>
      </c>
      <c r="B33" s="63" t="s">
        <v>154</v>
      </c>
      <c r="C33" s="62" t="s">
        <v>155</v>
      </c>
      <c r="D33" s="57">
        <f t="shared" si="0"/>
        <v>1447724.9999999991</v>
      </c>
      <c r="E33" s="44">
        <f t="shared" si="9"/>
        <v>133450</v>
      </c>
      <c r="F33" s="44">
        <f t="shared" si="10"/>
        <v>581174.99999999895</v>
      </c>
      <c r="G33" s="9" t="s">
        <v>88</v>
      </c>
      <c r="H33" s="22">
        <f>4*1800*IF(ISBLANK(L33),1,0)</f>
        <v>7200</v>
      </c>
      <c r="I33" s="22">
        <f t="shared" si="25"/>
        <v>-22239.999999999971</v>
      </c>
      <c r="J33" s="22">
        <v>1</v>
      </c>
      <c r="K33" s="22">
        <v>100000</v>
      </c>
      <c r="L33" s="29"/>
      <c r="M33" s="22">
        <v>1.0043</v>
      </c>
      <c r="N33" s="35">
        <v>0.94920000000000004</v>
      </c>
      <c r="O33" s="9" t="s">
        <v>89</v>
      </c>
      <c r="P33" s="22">
        <f t="shared" si="2"/>
        <v>40000</v>
      </c>
      <c r="Q33" s="22">
        <f t="shared" si="3"/>
        <v>55950.000000000065</v>
      </c>
      <c r="R33" s="22">
        <v>-1</v>
      </c>
      <c r="S33" s="22">
        <v>250</v>
      </c>
      <c r="T33" s="33"/>
      <c r="U33" s="38">
        <v>1191.9000000000001</v>
      </c>
      <c r="V33" s="39">
        <v>1079.8</v>
      </c>
      <c r="W33" s="9" t="s">
        <v>175</v>
      </c>
      <c r="X33" s="22">
        <f>8*2750*IF(ISBLANK(AB33),1,0)</f>
        <v>0</v>
      </c>
      <c r="Y33" s="36">
        <f t="shared" si="29"/>
        <v>-17920.000000000025</v>
      </c>
      <c r="Z33" s="22">
        <v>1</v>
      </c>
      <c r="AA33" s="22">
        <v>10000</v>
      </c>
      <c r="AB33" s="37">
        <v>40819</v>
      </c>
      <c r="AC33" s="40">
        <v>4.327</v>
      </c>
      <c r="AD33" s="39">
        <v>4.1079999999999997</v>
      </c>
      <c r="AE33" s="8" t="s">
        <v>171</v>
      </c>
      <c r="AF33" s="22">
        <f t="shared" si="20"/>
        <v>7500</v>
      </c>
      <c r="AG33" s="22">
        <f t="shared" si="6"/>
        <v>-75</v>
      </c>
      <c r="AH33" s="22">
        <v>1</v>
      </c>
      <c r="AI33" s="22">
        <v>125000</v>
      </c>
      <c r="AJ33" s="29"/>
      <c r="AK33" s="38">
        <v>1.3218000000000001</v>
      </c>
      <c r="AL33" s="39">
        <v>1.3218000000000001</v>
      </c>
      <c r="AM33" s="38">
        <v>1.3232999999999999</v>
      </c>
      <c r="AN33" s="39">
        <v>1.3232999999999999</v>
      </c>
      <c r="AO33" s="8" t="s">
        <v>139</v>
      </c>
      <c r="AP33" s="22">
        <f t="shared" si="22"/>
        <v>3750</v>
      </c>
      <c r="AQ33" s="22">
        <f t="shared" si="7"/>
        <v>-75</v>
      </c>
      <c r="AR33" s="22">
        <v>-1</v>
      </c>
      <c r="AS33" s="22">
        <v>25000</v>
      </c>
      <c r="AT33" s="70"/>
      <c r="AU33" s="38">
        <v>3.1505000000000001</v>
      </c>
      <c r="AV33" s="39">
        <v>3.1505000000000001</v>
      </c>
      <c r="AW33" s="22">
        <v>3.1555</v>
      </c>
      <c r="AX33" s="35">
        <v>3.1555</v>
      </c>
      <c r="AY33" s="3" t="s">
        <v>140</v>
      </c>
      <c r="AZ33" s="26">
        <f t="shared" si="26"/>
        <v>50000</v>
      </c>
      <c r="BA33" s="24">
        <f t="shared" si="19"/>
        <v>-62875.000000000073</v>
      </c>
      <c r="BB33" s="3">
        <v>-1</v>
      </c>
      <c r="BC33" s="3">
        <v>250</v>
      </c>
      <c r="BD33" s="3"/>
      <c r="BE33" s="3">
        <v>53.25</v>
      </c>
      <c r="BF33" s="3">
        <v>53.5</v>
      </c>
      <c r="BG33" s="7">
        <v>63.35</v>
      </c>
      <c r="BH33" s="3">
        <v>61.15</v>
      </c>
      <c r="BI33" t="s">
        <v>159</v>
      </c>
      <c r="BJ33" s="83">
        <f t="shared" si="14"/>
        <v>25000</v>
      </c>
      <c r="BK33" s="25">
        <f t="shared" si="21"/>
        <v>628409.99999999895</v>
      </c>
      <c r="BL33" s="61">
        <v>1</v>
      </c>
      <c r="BM33" s="25">
        <v>1000</v>
      </c>
      <c r="BO33" s="25">
        <v>86.62</v>
      </c>
      <c r="BP33" s="61">
        <v>97.41</v>
      </c>
      <c r="BQ33" s="25">
        <v>93.32</v>
      </c>
      <c r="BR33" s="61">
        <v>92.4</v>
      </c>
      <c r="BS33" s="3"/>
      <c r="BT33" s="24"/>
      <c r="BU33" s="24"/>
      <c r="BV33" s="3"/>
      <c r="BW33" s="3"/>
      <c r="BY33" s="3"/>
      <c r="CB33" s="24"/>
      <c r="CH33" s="61"/>
    </row>
    <row r="34" spans="1:86" s="61" customFormat="1" x14ac:dyDescent="0.2">
      <c r="A34" s="91">
        <v>40875</v>
      </c>
      <c r="B34" s="9" t="s">
        <v>156</v>
      </c>
      <c r="C34" s="9" t="s">
        <v>157</v>
      </c>
      <c r="D34" s="92">
        <f t="shared" si="0"/>
        <v>-475309.9999999979</v>
      </c>
      <c r="E34" s="9">
        <f t="shared" si="9"/>
        <v>41250</v>
      </c>
      <c r="F34" s="9">
        <f t="shared" si="10"/>
        <v>-1434059.9999999979</v>
      </c>
      <c r="G34" s="9" t="s">
        <v>173</v>
      </c>
      <c r="H34" s="9">
        <f>(2*1800+2*4000)*IF(ISBLANK(L34),1,0)</f>
        <v>0</v>
      </c>
      <c r="I34" s="9">
        <f t="shared" si="25"/>
        <v>-379880</v>
      </c>
      <c r="J34" s="9">
        <v>1</v>
      </c>
      <c r="K34" s="9">
        <v>100000</v>
      </c>
      <c r="L34" s="93">
        <v>40819</v>
      </c>
      <c r="M34" s="97">
        <v>0.94920000000000004</v>
      </c>
      <c r="N34" s="95">
        <v>0</v>
      </c>
      <c r="O34" s="9" t="s">
        <v>174</v>
      </c>
      <c r="P34" s="9">
        <f t="shared" si="2"/>
        <v>0</v>
      </c>
      <c r="Q34" s="9">
        <f t="shared" si="3"/>
        <v>55950.000000000065</v>
      </c>
      <c r="R34" s="9">
        <v>-1</v>
      </c>
      <c r="S34" s="9">
        <v>250</v>
      </c>
      <c r="T34" s="110">
        <v>40819</v>
      </c>
      <c r="U34" s="95">
        <v>1191.9000000000001</v>
      </c>
      <c r="V34" s="95">
        <v>1079.8</v>
      </c>
      <c r="W34" s="9" t="s">
        <v>175</v>
      </c>
      <c r="X34" s="9">
        <f>8*2750*IF(ISBLANK(AB34),1,0)</f>
        <v>0</v>
      </c>
      <c r="Y34" s="96">
        <f t="shared" si="29"/>
        <v>-17920.000000000025</v>
      </c>
      <c r="Z34" s="9">
        <v>1</v>
      </c>
      <c r="AA34" s="9">
        <v>10000</v>
      </c>
      <c r="AB34" s="110">
        <v>40819</v>
      </c>
      <c r="AC34" s="97">
        <v>4.327</v>
      </c>
      <c r="AD34" s="95">
        <v>4.1079999999999997</v>
      </c>
      <c r="AE34" s="9" t="s">
        <v>171</v>
      </c>
      <c r="AF34" s="9">
        <f t="shared" si="20"/>
        <v>7500</v>
      </c>
      <c r="AG34" s="9">
        <f t="shared" si="6"/>
        <v>-75</v>
      </c>
      <c r="AH34" s="9">
        <v>1</v>
      </c>
      <c r="AI34" s="9">
        <v>125000</v>
      </c>
      <c r="AJ34" s="9"/>
      <c r="AK34" s="95">
        <v>1.3218000000000001</v>
      </c>
      <c r="AL34" s="95">
        <v>1.3218000000000001</v>
      </c>
      <c r="AM34" s="95">
        <v>1.3232999999999999</v>
      </c>
      <c r="AN34" s="95">
        <v>1.3232999999999999</v>
      </c>
      <c r="AO34" s="9" t="s">
        <v>102</v>
      </c>
      <c r="AP34" s="9">
        <f t="shared" si="22"/>
        <v>3750</v>
      </c>
      <c r="AQ34" s="9">
        <f t="shared" si="7"/>
        <v>-75</v>
      </c>
      <c r="AR34" s="9">
        <v>-1</v>
      </c>
      <c r="AS34" s="9">
        <v>25000</v>
      </c>
      <c r="AT34" s="99"/>
      <c r="AU34" s="95">
        <v>3.1505000000000001</v>
      </c>
      <c r="AV34" s="95">
        <v>3.1505000000000001</v>
      </c>
      <c r="AW34" s="9">
        <v>3.1555</v>
      </c>
      <c r="AX34" s="9">
        <v>3.1555</v>
      </c>
      <c r="AY34" s="9" t="s">
        <v>162</v>
      </c>
      <c r="AZ34" s="101">
        <f>5000*IF(ISBLANK(BD34),1,0)</f>
        <v>5000</v>
      </c>
      <c r="BA34" s="102">
        <f>-500+BB34*(53*(BF34-BE34)-((BH34-BG34)*50))*BC34</f>
        <v>-194319.99999999884</v>
      </c>
      <c r="BB34" s="7">
        <v>-1</v>
      </c>
      <c r="BC34" s="7">
        <v>100</v>
      </c>
      <c r="BD34" s="9"/>
      <c r="BE34" s="7">
        <v>1674.2</v>
      </c>
      <c r="BF34" s="7">
        <v>1678.6</v>
      </c>
      <c r="BG34" s="7">
        <v>1775.1</v>
      </c>
      <c r="BH34" s="7">
        <v>1741</v>
      </c>
      <c r="BI34" s="61" t="s">
        <v>163</v>
      </c>
      <c r="BJ34" s="103">
        <f t="shared" si="14"/>
        <v>25000</v>
      </c>
      <c r="BK34" s="61">
        <f>-250+BL34*(50*(BP34-BO34)-((BR34-BQ34)*54))*1000</f>
        <v>-580789.99999999907</v>
      </c>
      <c r="BL34" s="61">
        <v>-1</v>
      </c>
      <c r="BM34" s="61">
        <v>1000</v>
      </c>
      <c r="BO34" s="61">
        <v>86.62</v>
      </c>
      <c r="BP34" s="61">
        <v>97.41</v>
      </c>
      <c r="BQ34" s="61">
        <v>92.46</v>
      </c>
      <c r="BR34" s="61">
        <v>91.7</v>
      </c>
      <c r="BS34" s="7" t="s">
        <v>189</v>
      </c>
      <c r="BT34" s="102">
        <v>0</v>
      </c>
      <c r="BU34" s="102">
        <f t="shared" si="16"/>
        <v>-234750</v>
      </c>
      <c r="BV34" s="7">
        <v>1</v>
      </c>
      <c r="BW34" s="7">
        <v>250</v>
      </c>
      <c r="BY34" s="7">
        <v>37.4</v>
      </c>
      <c r="CA34" s="61" t="s">
        <v>187</v>
      </c>
      <c r="CB34" s="102">
        <f t="shared" si="17"/>
        <v>0</v>
      </c>
      <c r="CC34" s="61">
        <f t="shared" si="18"/>
        <v>-82200</v>
      </c>
      <c r="CD34" s="61">
        <v>1</v>
      </c>
      <c r="CE34" s="61">
        <v>1000</v>
      </c>
      <c r="CG34" s="61">
        <v>2.5499999999999998</v>
      </c>
      <c r="CH34" s="61">
        <v>5.63</v>
      </c>
    </row>
    <row r="35" spans="1:86" s="25" customFormat="1" x14ac:dyDescent="0.2">
      <c r="A35" s="80">
        <v>40868</v>
      </c>
      <c r="B35" s="62" t="s">
        <v>158</v>
      </c>
      <c r="C35" s="62" t="s">
        <v>29</v>
      </c>
      <c r="D35" s="57">
        <f t="shared" si="0"/>
        <v>990614.99999999872</v>
      </c>
      <c r="E35" s="44">
        <f t="shared" si="9"/>
        <v>205500</v>
      </c>
      <c r="F35" s="44">
        <f t="shared" si="10"/>
        <v>196114.99999999872</v>
      </c>
      <c r="G35" s="9" t="s">
        <v>42</v>
      </c>
      <c r="H35" s="22">
        <f>4*4000*IF(ISBLANK(L35),1,0)</f>
        <v>16000</v>
      </c>
      <c r="I35" s="22">
        <f t="shared" si="25"/>
        <v>21749.999999999913</v>
      </c>
      <c r="J35" s="22">
        <v>-1</v>
      </c>
      <c r="K35" s="22">
        <v>125000</v>
      </c>
      <c r="L35" s="29"/>
      <c r="M35" s="22">
        <v>1.3655999999999999</v>
      </c>
      <c r="N35" s="35">
        <v>1.3217000000000001</v>
      </c>
      <c r="O35" s="9" t="s">
        <v>93</v>
      </c>
      <c r="P35" s="22">
        <f t="shared" si="2"/>
        <v>40000</v>
      </c>
      <c r="Q35" s="22">
        <f t="shared" si="3"/>
        <v>-56150.000000000065</v>
      </c>
      <c r="R35" s="22">
        <v>1</v>
      </c>
      <c r="S35" s="22">
        <v>250</v>
      </c>
      <c r="T35" s="33"/>
      <c r="U35" s="38">
        <v>1191.9000000000001</v>
      </c>
      <c r="V35" s="39">
        <v>1079.8</v>
      </c>
      <c r="W35" s="9" t="s">
        <v>94</v>
      </c>
      <c r="X35" s="22">
        <f>8*2750*IF(ISBLANK(AB35),1,0)</f>
        <v>22000</v>
      </c>
      <c r="Y35" s="36">
        <f t="shared" si="29"/>
        <v>-17920.000000000025</v>
      </c>
      <c r="Z35" s="22">
        <v>1</v>
      </c>
      <c r="AA35" s="22">
        <v>10000</v>
      </c>
      <c r="AB35" s="33"/>
      <c r="AC35" s="40">
        <v>4.327</v>
      </c>
      <c r="AD35" s="39">
        <v>4.1079999999999997</v>
      </c>
      <c r="AE35" s="8" t="s">
        <v>100</v>
      </c>
      <c r="AF35" s="22">
        <f>50*(350+350)*IF(ISBLANK(AJ35),1,0)</f>
        <v>35000</v>
      </c>
      <c r="AG35" s="22">
        <f t="shared" si="6"/>
        <v>-75</v>
      </c>
      <c r="AH35" s="22">
        <v>-1</v>
      </c>
      <c r="AI35" s="22">
        <v>1000000</v>
      </c>
      <c r="AJ35" s="22"/>
      <c r="AK35" s="22">
        <v>0.15609999999999999</v>
      </c>
      <c r="AL35" s="35">
        <v>0.15609999999999999</v>
      </c>
      <c r="AM35" s="22">
        <v>0.15634999999999999</v>
      </c>
      <c r="AN35" s="35">
        <v>0.15634999999999999</v>
      </c>
      <c r="AO35" s="8" t="s">
        <v>116</v>
      </c>
      <c r="AP35" s="22">
        <f>50*(175+175)*IF(ISBLANK(AT35),1,0)</f>
        <v>17500</v>
      </c>
      <c r="AQ35" s="22">
        <f t="shared" si="7"/>
        <v>-75</v>
      </c>
      <c r="AR35" s="22">
        <v>1</v>
      </c>
      <c r="AS35" s="22">
        <v>5000</v>
      </c>
      <c r="AT35" s="70"/>
      <c r="AU35" s="22">
        <v>30.812999999999999</v>
      </c>
      <c r="AV35" s="35">
        <v>30.812999999999999</v>
      </c>
      <c r="AW35" s="22">
        <v>30.817</v>
      </c>
      <c r="AX35" s="35">
        <v>30.817</v>
      </c>
      <c r="AY35" s="3" t="s">
        <v>140</v>
      </c>
      <c r="AZ35" s="26">
        <f t="shared" si="26"/>
        <v>50000</v>
      </c>
      <c r="BA35" s="24">
        <f t="shared" si="19"/>
        <v>-62875.000000000073</v>
      </c>
      <c r="BB35" s="3">
        <v>-1</v>
      </c>
      <c r="BC35" s="3">
        <v>250</v>
      </c>
      <c r="BD35" s="3"/>
      <c r="BE35" s="3">
        <v>53.25</v>
      </c>
      <c r="BF35" s="3">
        <v>53.5</v>
      </c>
      <c r="BG35" s="7">
        <v>63.35</v>
      </c>
      <c r="BH35" s="3">
        <v>61.15</v>
      </c>
      <c r="BI35" t="s">
        <v>159</v>
      </c>
      <c r="BJ35" s="83">
        <f t="shared" si="14"/>
        <v>25000</v>
      </c>
      <c r="BK35" s="25">
        <f t="shared" ref="BK35:BK37" si="30">-250+BL35*(54*(BP35-BO35)-((BR35-BQ35)*50))*1000</f>
        <v>628409.99999999895</v>
      </c>
      <c r="BL35" s="61">
        <v>1</v>
      </c>
      <c r="BM35" s="25">
        <v>1000</v>
      </c>
      <c r="BO35" s="25">
        <v>86.62</v>
      </c>
      <c r="BP35" s="61">
        <v>97.41</v>
      </c>
      <c r="BQ35" s="25">
        <v>93.32</v>
      </c>
      <c r="BR35" s="61">
        <v>92.4</v>
      </c>
      <c r="BS35" s="3" t="s">
        <v>186</v>
      </c>
      <c r="BT35" s="24">
        <f t="shared" si="15"/>
        <v>0</v>
      </c>
      <c r="BU35" s="24">
        <f t="shared" si="16"/>
        <v>-234750</v>
      </c>
      <c r="BV35" s="3">
        <v>1</v>
      </c>
      <c r="BW35" s="3">
        <v>250</v>
      </c>
      <c r="BY35" s="3">
        <v>37.4</v>
      </c>
      <c r="CA35" s="25" t="s">
        <v>187</v>
      </c>
      <c r="CB35" s="24">
        <f t="shared" si="17"/>
        <v>0</v>
      </c>
      <c r="CC35" s="25">
        <f t="shared" si="18"/>
        <v>-82200</v>
      </c>
      <c r="CD35" s="25">
        <v>1</v>
      </c>
      <c r="CE35" s="25">
        <v>1000</v>
      </c>
      <c r="CG35" s="25">
        <v>2.5499999999999998</v>
      </c>
      <c r="CH35" s="61">
        <v>5.63</v>
      </c>
    </row>
    <row r="36" spans="1:86" s="25" customFormat="1" x14ac:dyDescent="0.2">
      <c r="A36" s="80">
        <v>40868</v>
      </c>
      <c r="B36" s="8" t="s">
        <v>30</v>
      </c>
      <c r="C36" s="8" t="s">
        <v>31</v>
      </c>
      <c r="D36" s="57">
        <f t="shared" si="0"/>
        <v>1490534.9999999988</v>
      </c>
      <c r="E36" s="44">
        <f t="shared" si="9"/>
        <v>75000</v>
      </c>
      <c r="F36" s="44">
        <f t="shared" si="10"/>
        <v>565534.99999999884</v>
      </c>
      <c r="G36" s="9" t="s">
        <v>8</v>
      </c>
      <c r="H36" s="22">
        <f>4*1800*IF(ISBLANK(L36),1,0)</f>
        <v>0</v>
      </c>
      <c r="I36" s="22">
        <v>0</v>
      </c>
      <c r="J36" s="22"/>
      <c r="K36" s="22"/>
      <c r="L36" s="29" t="s">
        <v>170</v>
      </c>
      <c r="M36" s="40">
        <v>0</v>
      </c>
      <c r="N36" s="39">
        <v>0</v>
      </c>
      <c r="O36" s="9" t="s">
        <v>8</v>
      </c>
      <c r="P36" s="22">
        <f t="shared" si="2"/>
        <v>0</v>
      </c>
      <c r="Q36" s="22">
        <f t="shared" si="3"/>
        <v>0</v>
      </c>
      <c r="R36" s="22"/>
      <c r="S36" s="22"/>
      <c r="T36" s="33" t="s">
        <v>70</v>
      </c>
      <c r="U36" s="40">
        <v>0</v>
      </c>
      <c r="V36" s="39">
        <v>0</v>
      </c>
      <c r="W36" s="9" t="s">
        <v>8</v>
      </c>
      <c r="X36" s="22">
        <f>8*2750*IF(ISBLANK(AB36),1,0)</f>
        <v>0</v>
      </c>
      <c r="Y36" s="36">
        <f t="shared" si="29"/>
        <v>0</v>
      </c>
      <c r="Z36" s="22"/>
      <c r="AA36" s="22"/>
      <c r="AB36" s="33" t="s">
        <v>70</v>
      </c>
      <c r="AC36" s="40">
        <v>0</v>
      </c>
      <c r="AD36" s="39">
        <v>0</v>
      </c>
      <c r="AE36" s="8"/>
      <c r="AF36" s="22"/>
      <c r="AG36" s="22"/>
      <c r="AH36" s="22"/>
      <c r="AI36" s="22"/>
      <c r="AJ36" s="22"/>
      <c r="AK36" s="22"/>
      <c r="AL36" s="35"/>
      <c r="AM36" s="22"/>
      <c r="AN36" s="35"/>
      <c r="AO36" s="8"/>
      <c r="AP36" s="22"/>
      <c r="AQ36" s="22"/>
      <c r="AR36" s="22"/>
      <c r="AS36" s="22"/>
      <c r="AT36" s="70"/>
      <c r="AU36" s="22"/>
      <c r="AV36" s="35"/>
      <c r="AW36" s="22"/>
      <c r="AX36" s="35"/>
      <c r="AY36" s="3" t="s">
        <v>140</v>
      </c>
      <c r="AZ36" s="26">
        <f t="shared" si="26"/>
        <v>50000</v>
      </c>
      <c r="BA36" s="24">
        <f t="shared" si="19"/>
        <v>-62875.000000000073</v>
      </c>
      <c r="BB36" s="3">
        <v>-1</v>
      </c>
      <c r="BC36" s="3">
        <v>250</v>
      </c>
      <c r="BD36" s="3"/>
      <c r="BE36" s="3">
        <v>53.25</v>
      </c>
      <c r="BF36" s="3">
        <v>53.5</v>
      </c>
      <c r="BG36" s="7">
        <v>63.35</v>
      </c>
      <c r="BH36" s="3">
        <v>61.15</v>
      </c>
      <c r="BI36" t="s">
        <v>159</v>
      </c>
      <c r="BJ36" s="83">
        <f t="shared" si="14"/>
        <v>25000</v>
      </c>
      <c r="BK36" s="25">
        <f t="shared" si="30"/>
        <v>628409.99999999895</v>
      </c>
      <c r="BL36" s="61">
        <v>1</v>
      </c>
      <c r="BM36" s="25">
        <v>1000</v>
      </c>
      <c r="BO36" s="25">
        <v>86.62</v>
      </c>
      <c r="BP36" s="61">
        <v>97.41</v>
      </c>
      <c r="BQ36" s="25">
        <v>93.32</v>
      </c>
      <c r="BR36" s="61">
        <v>92.4</v>
      </c>
      <c r="BS36" s="3"/>
      <c r="BT36" s="24"/>
      <c r="BU36" s="24"/>
      <c r="BV36" s="3"/>
      <c r="BW36" s="3"/>
      <c r="BY36" s="3"/>
      <c r="CB36" s="24"/>
      <c r="CG36" s="61"/>
      <c r="CH36" s="61"/>
    </row>
    <row r="37" spans="1:86" s="25" customFormat="1" x14ac:dyDescent="0.2">
      <c r="A37" s="80">
        <v>40868</v>
      </c>
      <c r="B37" s="62" t="s">
        <v>32</v>
      </c>
      <c r="C37" s="62" t="s">
        <v>33</v>
      </c>
      <c r="D37" s="57">
        <f t="shared" si="0"/>
        <v>1277599.9999999984</v>
      </c>
      <c r="E37" s="44">
        <f t="shared" si="9"/>
        <v>5000</v>
      </c>
      <c r="F37" s="44">
        <f t="shared" si="10"/>
        <v>282599.99999999837</v>
      </c>
      <c r="G37" s="9" t="s">
        <v>107</v>
      </c>
      <c r="H37" s="22">
        <f>4*1800*IF(ISBLANK(L37),1,0)</f>
        <v>0</v>
      </c>
      <c r="I37" s="22">
        <f>4*(-50+J37*K37*(N37-M37))</f>
        <v>22349.99999999996</v>
      </c>
      <c r="J37" s="22">
        <v>-1</v>
      </c>
      <c r="K37" s="22">
        <v>125000</v>
      </c>
      <c r="L37" s="29">
        <v>40819</v>
      </c>
      <c r="M37" s="22">
        <v>1.3668</v>
      </c>
      <c r="N37" s="35">
        <v>1.3217000000000001</v>
      </c>
      <c r="O37" s="9" t="s">
        <v>108</v>
      </c>
      <c r="P37" s="22">
        <f t="shared" si="2"/>
        <v>0</v>
      </c>
      <c r="Q37" s="22">
        <f t="shared" si="3"/>
        <v>-56150.000000000065</v>
      </c>
      <c r="R37" s="22">
        <v>1</v>
      </c>
      <c r="S37" s="22">
        <v>250</v>
      </c>
      <c r="T37" s="37">
        <v>40819</v>
      </c>
      <c r="U37" s="38">
        <v>1191.9000000000001</v>
      </c>
      <c r="V37" s="39">
        <v>1079.8</v>
      </c>
      <c r="W37" s="84" t="s">
        <v>190</v>
      </c>
      <c r="X37" s="22">
        <f>8*6000*IF(ISBLANK(AB37),1,0)</f>
        <v>0</v>
      </c>
      <c r="Y37" s="65">
        <f t="shared" si="29"/>
        <v>89840.000000000015</v>
      </c>
      <c r="Z37" s="22">
        <v>1</v>
      </c>
      <c r="AA37" s="22">
        <v>1000</v>
      </c>
      <c r="AB37" s="33" t="s">
        <v>180</v>
      </c>
      <c r="AC37" s="40">
        <v>86.51</v>
      </c>
      <c r="AD37" s="39">
        <v>97.79</v>
      </c>
      <c r="AE37" s="84" t="s">
        <v>203</v>
      </c>
      <c r="AF37" s="22">
        <f>50*(75+75)*IF(ISBLANK(AJ37),1,0)*IF(ISBLANK(AE37),0,1)</f>
        <v>0</v>
      </c>
      <c r="AG37" s="22">
        <f>(15*(-2.5-2.5)+50*AH37*AI37*((AL37-AK37)-(AN37-AM37)))*IF(ISBLANK(AE37),0,1)</f>
        <v>-21950.000000000367</v>
      </c>
      <c r="AH37" s="22">
        <v>1</v>
      </c>
      <c r="AI37" s="22">
        <v>125000</v>
      </c>
      <c r="AJ37" s="22" t="s">
        <v>204</v>
      </c>
      <c r="AK37" s="38">
        <v>1.3218000000000001</v>
      </c>
      <c r="AL37" s="39">
        <v>1.3346</v>
      </c>
      <c r="AM37" s="38">
        <v>1.3232999999999999</v>
      </c>
      <c r="AN37" s="39">
        <v>1.3395999999999999</v>
      </c>
      <c r="AO37" s="8" t="s">
        <v>109</v>
      </c>
      <c r="AP37" s="22">
        <f>50*(50+50)*IF(ISBLANK(AT37),1,0)</f>
        <v>5000</v>
      </c>
      <c r="AQ37" s="22">
        <f>15*(-2.5-2.5)+50*AR37*AS37*((AV37-AU37)-(AX37-AW37))</f>
        <v>-75</v>
      </c>
      <c r="AR37" s="22">
        <v>1</v>
      </c>
      <c r="AS37" s="22">
        <v>100000</v>
      </c>
      <c r="AT37" s="70"/>
      <c r="AU37" s="22">
        <v>141.1</v>
      </c>
      <c r="AV37" s="35">
        <v>141.1</v>
      </c>
      <c r="AW37" s="22">
        <v>140.05000000000001</v>
      </c>
      <c r="AX37" s="35">
        <v>140.05000000000001</v>
      </c>
      <c r="AY37" s="85" t="s">
        <v>193</v>
      </c>
      <c r="AZ37" s="26">
        <f t="shared" si="26"/>
        <v>0</v>
      </c>
      <c r="BA37" s="24">
        <f t="shared" si="19"/>
        <v>-62875.000000000073</v>
      </c>
      <c r="BB37" s="3">
        <v>-1</v>
      </c>
      <c r="BC37" s="3">
        <v>250</v>
      </c>
      <c r="BD37" s="3" t="s">
        <v>180</v>
      </c>
      <c r="BE37" s="3">
        <v>53.25</v>
      </c>
      <c r="BF37" s="3">
        <v>53.5</v>
      </c>
      <c r="BG37" s="7">
        <v>63.35</v>
      </c>
      <c r="BH37" s="3">
        <v>61.15</v>
      </c>
      <c r="BI37" s="81" t="s">
        <v>194</v>
      </c>
      <c r="BJ37" s="83">
        <f t="shared" si="14"/>
        <v>0</v>
      </c>
      <c r="BK37" s="25">
        <f t="shared" si="30"/>
        <v>628409.99999999895</v>
      </c>
      <c r="BL37" s="61">
        <v>1</v>
      </c>
      <c r="BM37" s="25">
        <v>1000</v>
      </c>
      <c r="BN37" s="25" t="s">
        <v>180</v>
      </c>
      <c r="BO37" s="25">
        <v>86.62</v>
      </c>
      <c r="BP37" s="61">
        <v>97.41</v>
      </c>
      <c r="BQ37" s="25">
        <v>93.32</v>
      </c>
      <c r="BR37" s="61">
        <v>92.4</v>
      </c>
      <c r="BS37" s="3" t="s">
        <v>189</v>
      </c>
      <c r="BT37" s="24">
        <f t="shared" si="15"/>
        <v>0</v>
      </c>
      <c r="BU37" s="24">
        <f t="shared" si="16"/>
        <v>-234750</v>
      </c>
      <c r="BV37" s="3">
        <v>1</v>
      </c>
      <c r="BW37" s="3">
        <v>250</v>
      </c>
      <c r="BY37" s="3">
        <v>37.4</v>
      </c>
      <c r="CA37" s="25" t="s">
        <v>187</v>
      </c>
      <c r="CB37" s="24">
        <f t="shared" si="17"/>
        <v>0</v>
      </c>
      <c r="CC37" s="25">
        <f t="shared" si="18"/>
        <v>-82200</v>
      </c>
      <c r="CD37" s="25">
        <v>1</v>
      </c>
      <c r="CE37" s="25">
        <v>1000</v>
      </c>
      <c r="CG37" s="61">
        <v>2.5499999999999998</v>
      </c>
      <c r="CH37" s="61">
        <v>5.63</v>
      </c>
    </row>
    <row r="38" spans="1:86" x14ac:dyDescent="0.2">
      <c r="AJ38" s="6"/>
      <c r="BG38" s="7"/>
    </row>
    <row r="39" spans="1:86" x14ac:dyDescent="0.2">
      <c r="AJ39" s="6"/>
    </row>
    <row r="40" spans="1:86" x14ac:dyDescent="0.2">
      <c r="AJ40" s="6"/>
      <c r="AK40" s="6"/>
      <c r="AU40" s="6"/>
    </row>
  </sheetData>
  <autoFilter ref="B3:AX37">
    <sortState ref="B4:AX37">
      <sortCondition ref="B3:B37"/>
    </sortState>
  </autoFilter>
  <mergeCells count="1">
    <mergeCell ref="AY1:BF1"/>
  </mergeCells>
  <phoneticPr fontId="13" type="noConversion"/>
  <pageMargins left="0.75000000000000011" right="0.75000000000000011" top="1.3937000000000002" bottom="1.3937000000000002" header="1" footer="1"/>
  <pageSetup fitToWidth="0" fitToHeight="0" orientation="landscape" horizontalDpi="4294967295" verticalDpi="4294967295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9" sqref="B39"/>
    </sheetView>
  </sheetViews>
  <sheetFormatPr defaultColWidth="8.75" defaultRowHeight="15" x14ac:dyDescent="0.25"/>
  <cols>
    <col min="1" max="1" width="8.75" style="11"/>
    <col min="2" max="2" width="11.75" style="11" bestFit="1" customWidth="1"/>
    <col min="3" max="9" width="8.75" style="11"/>
    <col min="10" max="10" width="23" style="11" bestFit="1" customWidth="1"/>
    <col min="11" max="11" width="19.875" style="11" bestFit="1" customWidth="1"/>
    <col min="12" max="12" width="8.75" style="11"/>
    <col min="13" max="13" width="9.625" style="11" bestFit="1" customWidth="1"/>
    <col min="14" max="16384" width="8.75" style="11"/>
  </cols>
  <sheetData>
    <row r="1" spans="1:31" x14ac:dyDescent="0.25">
      <c r="B1" s="11" t="s">
        <v>51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166</v>
      </c>
      <c r="I1" s="11" t="s">
        <v>55</v>
      </c>
      <c r="J1" s="11" t="s">
        <v>179</v>
      </c>
      <c r="K1" s="11" t="s">
        <v>67</v>
      </c>
      <c r="L1" s="11" t="s">
        <v>68</v>
      </c>
      <c r="M1" s="11" t="s">
        <v>53</v>
      </c>
      <c r="N1" s="11" t="s">
        <v>53</v>
      </c>
      <c r="O1" s="11" t="s">
        <v>53</v>
      </c>
      <c r="P1" s="11" t="s">
        <v>101</v>
      </c>
      <c r="Q1" s="11" t="s">
        <v>101</v>
      </c>
      <c r="R1" s="11" t="s">
        <v>54</v>
      </c>
      <c r="S1" s="11" t="s">
        <v>54</v>
      </c>
      <c r="T1" s="11" t="s">
        <v>57</v>
      </c>
      <c r="U1" s="11" t="s">
        <v>58</v>
      </c>
      <c r="V1" s="11" t="s">
        <v>58</v>
      </c>
      <c r="W1" s="11" t="s">
        <v>58</v>
      </c>
      <c r="X1" s="11" t="s">
        <v>110</v>
      </c>
      <c r="Y1" s="11" t="s">
        <v>110</v>
      </c>
      <c r="Z1" s="11" t="s">
        <v>110</v>
      </c>
      <c r="AA1" s="11" t="s">
        <v>110</v>
      </c>
      <c r="AB1" s="11" t="s">
        <v>112</v>
      </c>
      <c r="AC1" s="11" t="s">
        <v>112</v>
      </c>
      <c r="AD1" s="11" t="s">
        <v>128</v>
      </c>
      <c r="AE1" s="11" t="s">
        <v>128</v>
      </c>
    </row>
    <row r="2" spans="1:31" x14ac:dyDescent="0.25">
      <c r="B2" s="11" t="s">
        <v>49</v>
      </c>
      <c r="C2" s="12">
        <v>41061</v>
      </c>
      <c r="D2" s="12">
        <v>41061</v>
      </c>
      <c r="E2" s="12">
        <v>41061</v>
      </c>
      <c r="F2" s="12">
        <v>41061</v>
      </c>
      <c r="G2" s="12">
        <v>40969</v>
      </c>
      <c r="H2" s="12">
        <v>40969</v>
      </c>
      <c r="I2" s="12">
        <v>40940</v>
      </c>
      <c r="J2" s="12">
        <v>40940</v>
      </c>
      <c r="K2" s="12">
        <v>40940</v>
      </c>
      <c r="L2" s="12">
        <v>40940</v>
      </c>
      <c r="M2" s="12">
        <v>40969</v>
      </c>
      <c r="N2" s="12">
        <v>41244</v>
      </c>
      <c r="O2" s="12">
        <v>41334</v>
      </c>
      <c r="P2" s="12">
        <v>40909</v>
      </c>
      <c r="Q2" s="12">
        <v>41030</v>
      </c>
      <c r="R2" s="12">
        <v>40878</v>
      </c>
      <c r="S2" s="12">
        <v>41974</v>
      </c>
      <c r="T2" s="12">
        <v>40817</v>
      </c>
      <c r="U2" s="12">
        <v>40909</v>
      </c>
      <c r="V2" s="12">
        <v>41244</v>
      </c>
      <c r="W2" s="59">
        <v>40888</v>
      </c>
      <c r="X2" s="59">
        <v>40888</v>
      </c>
      <c r="Y2" s="59">
        <v>40706</v>
      </c>
      <c r="Z2" s="59">
        <v>40614</v>
      </c>
      <c r="AA2" s="59">
        <v>40889</v>
      </c>
      <c r="AB2" s="59">
        <v>40614</v>
      </c>
      <c r="AC2" s="59">
        <v>40615</v>
      </c>
      <c r="AD2" s="59">
        <v>40614</v>
      </c>
      <c r="AE2" s="59">
        <v>40706</v>
      </c>
    </row>
    <row r="3" spans="1:31" x14ac:dyDescent="0.25">
      <c r="B3" s="11" t="s">
        <v>37</v>
      </c>
      <c r="C3" s="13">
        <v>100000</v>
      </c>
      <c r="D3" s="13">
        <v>125000</v>
      </c>
      <c r="E3" s="13">
        <v>100000</v>
      </c>
      <c r="F3" s="13">
        <v>100000</v>
      </c>
      <c r="G3" s="13">
        <v>250</v>
      </c>
      <c r="H3" s="13">
        <v>25</v>
      </c>
      <c r="I3" s="13">
        <v>10000</v>
      </c>
      <c r="J3" s="13">
        <v>1000</v>
      </c>
      <c r="K3" s="13">
        <v>500</v>
      </c>
      <c r="L3" s="13">
        <v>1000</v>
      </c>
      <c r="M3" s="13">
        <v>125000</v>
      </c>
      <c r="N3" s="13">
        <v>125000</v>
      </c>
      <c r="O3" s="13">
        <v>125000</v>
      </c>
      <c r="P3" s="11">
        <v>1000000</v>
      </c>
      <c r="Q3" s="11">
        <v>1000000</v>
      </c>
      <c r="R3" s="13">
        <v>25000</v>
      </c>
      <c r="S3" s="13">
        <v>25000</v>
      </c>
      <c r="T3" s="13">
        <v>5000</v>
      </c>
      <c r="U3" s="13">
        <v>5000</v>
      </c>
      <c r="V3" s="13">
        <v>5000</v>
      </c>
      <c r="W3" s="11">
        <v>5000</v>
      </c>
      <c r="X3" s="11">
        <v>100000</v>
      </c>
      <c r="Y3" s="11">
        <v>100000</v>
      </c>
      <c r="Z3" s="11">
        <v>100000</v>
      </c>
      <c r="AA3" s="11">
        <v>100000</v>
      </c>
      <c r="AB3" s="11">
        <v>200000</v>
      </c>
      <c r="AC3" s="11">
        <v>200000</v>
      </c>
      <c r="AD3" s="11">
        <v>100000</v>
      </c>
      <c r="AE3" s="11">
        <v>100000</v>
      </c>
    </row>
    <row r="4" spans="1:31" x14ac:dyDescent="0.25">
      <c r="B4" s="11" t="s">
        <v>52</v>
      </c>
      <c r="C4" s="13">
        <v>1800</v>
      </c>
      <c r="D4" s="13">
        <v>4000</v>
      </c>
      <c r="E4" s="13">
        <v>3500</v>
      </c>
      <c r="F4" s="13">
        <v>2600</v>
      </c>
      <c r="G4" s="13">
        <v>20000</v>
      </c>
      <c r="H4" s="13">
        <v>20000</v>
      </c>
      <c r="I4" s="13">
        <v>2750</v>
      </c>
      <c r="J4" s="13">
        <v>6000</v>
      </c>
      <c r="K4" s="13">
        <v>4000</v>
      </c>
      <c r="L4" s="13">
        <v>6000</v>
      </c>
      <c r="M4" s="13">
        <v>75</v>
      </c>
      <c r="N4" s="13">
        <v>75</v>
      </c>
      <c r="O4" s="13">
        <v>75</v>
      </c>
      <c r="P4" s="11">
        <v>350</v>
      </c>
      <c r="Q4" s="11">
        <v>350</v>
      </c>
      <c r="R4" s="11">
        <v>75</v>
      </c>
      <c r="S4" s="11">
        <v>75</v>
      </c>
      <c r="T4" s="11">
        <f>175/2</f>
        <v>87.5</v>
      </c>
      <c r="U4" s="11">
        <v>175</v>
      </c>
      <c r="V4" s="11">
        <v>175</v>
      </c>
      <c r="W4" s="11">
        <v>175</v>
      </c>
      <c r="X4" s="11">
        <v>50</v>
      </c>
      <c r="Y4" s="11">
        <v>50</v>
      </c>
      <c r="Z4" s="11">
        <v>50</v>
      </c>
      <c r="AA4" s="11">
        <v>50</v>
      </c>
      <c r="AB4" s="11">
        <v>250</v>
      </c>
      <c r="AC4" s="11">
        <v>250</v>
      </c>
      <c r="AD4" s="11">
        <v>75</v>
      </c>
      <c r="AE4" s="11">
        <v>75</v>
      </c>
    </row>
    <row r="5" spans="1:31" x14ac:dyDescent="0.2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31" x14ac:dyDescent="0.25">
      <c r="A6" s="11" t="s">
        <v>50</v>
      </c>
      <c r="B6" s="11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31" x14ac:dyDescent="0.25">
      <c r="A7" s="11">
        <v>1</v>
      </c>
      <c r="B7" s="14">
        <v>40805</v>
      </c>
      <c r="C7" s="15">
        <v>1.0043</v>
      </c>
      <c r="D7" s="15">
        <v>1.3655999999999999</v>
      </c>
      <c r="E7" s="11" t="s">
        <v>176</v>
      </c>
      <c r="F7" s="11">
        <v>0.99019999999999997</v>
      </c>
      <c r="G7" s="11">
        <v>1191.9000000000001</v>
      </c>
      <c r="H7" s="11" t="s">
        <v>176</v>
      </c>
      <c r="I7" s="13">
        <v>4.327</v>
      </c>
      <c r="J7" s="40">
        <v>86.51</v>
      </c>
      <c r="K7" s="11">
        <v>48.61</v>
      </c>
      <c r="L7" s="11">
        <v>122.13</v>
      </c>
      <c r="M7" s="15"/>
      <c r="N7" s="15"/>
      <c r="O7" s="15"/>
    </row>
    <row r="8" spans="1:31" x14ac:dyDescent="0.25">
      <c r="A8" s="11">
        <v>2</v>
      </c>
      <c r="B8" s="14">
        <v>40819</v>
      </c>
      <c r="C8" s="15">
        <v>0.94920000000000004</v>
      </c>
      <c r="D8" s="15">
        <v>1.3221000000000001</v>
      </c>
      <c r="E8" s="11">
        <v>0.51490000000000002</v>
      </c>
      <c r="F8" s="11">
        <v>0.9325</v>
      </c>
      <c r="G8" s="11">
        <v>1079.8</v>
      </c>
      <c r="H8" s="11">
        <v>10452</v>
      </c>
      <c r="I8" s="13">
        <v>4.1079999999999997</v>
      </c>
      <c r="J8" s="13">
        <v>78.25</v>
      </c>
      <c r="K8" s="13">
        <v>55.33</v>
      </c>
      <c r="L8" s="13">
        <v>97.8</v>
      </c>
      <c r="M8" s="15">
        <v>1.3218000000000001</v>
      </c>
      <c r="N8" s="15">
        <v>1.3229</v>
      </c>
      <c r="O8" s="15">
        <v>1.3232999999999999</v>
      </c>
      <c r="P8" s="11">
        <v>0.15609999999999999</v>
      </c>
      <c r="Q8" s="11">
        <v>0.15634999999999999</v>
      </c>
      <c r="R8" s="11">
        <v>3.1505000000000001</v>
      </c>
      <c r="S8" s="11">
        <v>3.1555</v>
      </c>
      <c r="T8" s="11">
        <v>30.75</v>
      </c>
      <c r="U8" s="11">
        <v>30.812999999999999</v>
      </c>
      <c r="V8" s="11">
        <v>30.817</v>
      </c>
      <c r="W8" s="11">
        <v>141.1</v>
      </c>
      <c r="X8" s="11">
        <v>140.05000000000001</v>
      </c>
      <c r="Y8" s="11">
        <v>130.10499999999999</v>
      </c>
      <c r="Z8" s="11">
        <v>127.105</v>
      </c>
      <c r="AA8" s="11">
        <v>0.98939999999999995</v>
      </c>
      <c r="AB8" s="11">
        <v>0.96160000000000001</v>
      </c>
    </row>
    <row r="9" spans="1:31" x14ac:dyDescent="0.25">
      <c r="A9" s="11">
        <v>3</v>
      </c>
      <c r="B9" s="14">
        <v>40833</v>
      </c>
    </row>
    <row r="10" spans="1:31" x14ac:dyDescent="0.25">
      <c r="A10" s="11">
        <v>4</v>
      </c>
      <c r="B10" s="14">
        <v>40868</v>
      </c>
    </row>
    <row r="11" spans="1:31" x14ac:dyDescent="0.25">
      <c r="B11" s="14"/>
    </row>
    <row r="12" spans="1:31" x14ac:dyDescent="0.25">
      <c r="B12" s="14"/>
    </row>
    <row r="13" spans="1:31" x14ac:dyDescent="0.25">
      <c r="B13" s="14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419_class_11-3</vt:lpstr>
      <vt:lpstr>Reference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Lucifer</dc:creator>
  <cp:lastModifiedBy>gp</cp:lastModifiedBy>
  <dcterms:created xsi:type="dcterms:W3CDTF">2011-10-07T23:01:42Z</dcterms:created>
  <dcterms:modified xsi:type="dcterms:W3CDTF">2011-11-29T03:59:59Z</dcterms:modified>
</cp:coreProperties>
</file>